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145" windowHeight="12330" tabRatio="899" firstSheet="1" activeTab="4"/>
  </bookViews>
  <sheets>
    <sheet name="основные условия" sheetId="1" r:id="rId1"/>
    <sheet name="конкурсная документация" sheetId="2" r:id="rId2"/>
    <sheet name="конкурсные предложения" sheetId="3" r:id="rId3"/>
    <sheet name="расчет индексация" sheetId="4" r:id="rId4"/>
    <sheet name="расчет RAB" sheetId="5" r:id="rId5"/>
    <sheet name="результат расчета" sheetId="6" r:id="rId6"/>
  </sheets>
  <externalReferences>
    <externalReference r:id="rId9"/>
  </externalReferences>
  <definedNames>
    <definedName name="_xlnm.Print_Titles" localSheetId="1">'конкурсная документация'!$A:$A,'конкурсная документация'!#REF!</definedName>
    <definedName name="_xlnm.Print_Titles" localSheetId="2">'конкурсные предложения'!$A:$A,'конкурсные предложения'!$2:$3</definedName>
    <definedName name="_xlnm.Print_Titles" localSheetId="4">'расчет RAB'!$A:$A,'расчет RAB'!$4:$5</definedName>
    <definedName name="_xlnm.Print_Titles" localSheetId="3">'расчет индексация'!$A:$A,'расчет индексация'!$4:$5</definedName>
    <definedName name="_xlnm.Print_Area" localSheetId="1">'конкурсная документация'!$A$1:$AF$51</definedName>
    <definedName name="_xlnm.Print_Area" localSheetId="2">'конкурсные предложения'!$A$1:$AE$19</definedName>
    <definedName name="_xlnm.Print_Area" localSheetId="4">'расчет RAB'!$A$1:$AF$106</definedName>
    <definedName name="_xlnm.Print_Area" localSheetId="3">'расчет индексация'!$A$1:$AF$93</definedName>
    <definedName name="_xlnm.Print_Area" localSheetId="5">'результат расчета'!$A$1:$AF$17</definedName>
  </definedNames>
  <calcPr fullCalcOnLoad="1"/>
</workbook>
</file>

<file path=xl/sharedStrings.xml><?xml version="1.0" encoding="utf-8"?>
<sst xmlns="http://schemas.openxmlformats.org/spreadsheetml/2006/main" count="326" uniqueCount="221">
  <si>
    <t>Регулируемая база капитала:</t>
  </si>
  <si>
    <t>База капитала новых инвестиций на начало года</t>
  </si>
  <si>
    <t>База капитала новых инвестиций на конец года</t>
  </si>
  <si>
    <t>Чистый оборотный капитал на начало года</t>
  </si>
  <si>
    <t>Доходность на первоначальную базу</t>
  </si>
  <si>
    <t>Доходность на новые инвестиции и ЧОК</t>
  </si>
  <si>
    <t>Доходность на инвестированный капитал, после налога на прибыль</t>
  </si>
  <si>
    <t>Затраты:</t>
  </si>
  <si>
    <t xml:space="preserve">Неподконтрольные </t>
  </si>
  <si>
    <t>Налог на прибыль</t>
  </si>
  <si>
    <t>ИТОГО НВВ</t>
  </si>
  <si>
    <t>Темп прироста НВВ, %</t>
  </si>
  <si>
    <t>Темп прироста тарифа, %</t>
  </si>
  <si>
    <t>Инвестиционная программа за счет тарифа</t>
  </si>
  <si>
    <t>Норма доходности на первоначальную базу, %</t>
  </si>
  <si>
    <t>Норма доходность на новые инвестиции и ЧОК, %</t>
  </si>
  <si>
    <t>ИПЦ, %</t>
  </si>
  <si>
    <t>прочие неподконтрольные</t>
  </si>
  <si>
    <t>расходы на электроэнергию</t>
  </si>
  <si>
    <t>концессионные или арендные платежи</t>
  </si>
  <si>
    <t xml:space="preserve">цена электроэнергии руб/кВт. ч. </t>
  </si>
  <si>
    <t>% ЧОК от НВВ</t>
  </si>
  <si>
    <t>Тариф, руб за Гкал/ кВт. Ч./ куб. м.</t>
  </si>
  <si>
    <t>Cрок возврата капитала</t>
  </si>
  <si>
    <t>Вводят пользователи</t>
  </si>
  <si>
    <t>Вводит Минэкономразвития</t>
  </si>
  <si>
    <t>Легенда</t>
  </si>
  <si>
    <t>1-ый долгосрочный период</t>
  </si>
  <si>
    <t>2-ый долгосрочный период</t>
  </si>
  <si>
    <t>3-ый долгосрочный период</t>
  </si>
  <si>
    <t>4-ый долгосрочный период</t>
  </si>
  <si>
    <t>5-ый долгосрочный период</t>
  </si>
  <si>
    <t>Расчет тарифа</t>
  </si>
  <si>
    <t>Размер инвестированного капитала до перехода на метод доходности инвестированного капитала (остаточная стоимость) на начало года</t>
  </si>
  <si>
    <t>Эластичность операционных расходов по количеству активов</t>
  </si>
  <si>
    <t>Размер инвестированного капитала до перехода на метод доходности инвестированного капитала (остаточная стоимость) на конец года</t>
  </si>
  <si>
    <t xml:space="preserve">Возврат капитала, инвестированного до перехода на метод доходности инвестированного капитала </t>
  </si>
  <si>
    <t>возрат новых инвестиций</t>
  </si>
  <si>
    <t>Cрок возврата капитала, лет</t>
  </si>
  <si>
    <t>НВВ</t>
  </si>
  <si>
    <t>Норма доходности на новые инвестиции, %</t>
  </si>
  <si>
    <t>Норма доходности на капитал, инвестированный до перехода на метод доходности, %</t>
  </si>
  <si>
    <t>Дисконтированная валовая выручка</t>
  </si>
  <si>
    <t>возмещение инвестиционных расходов организации, не возмещенных за счет возврата капитала на моменту окончания срока действия соглашения</t>
  </si>
  <si>
    <t>Итого Валовая выручка</t>
  </si>
  <si>
    <t>Итого Валовая выручка,  млн. руб.</t>
  </si>
  <si>
    <t>возмещение инвестиционных расходов организации, не возмещенных за счет возврата капитала на моменту окончания срока действия соглашения, млн. руб.</t>
  </si>
  <si>
    <t>Дисконтированная валовая выручка, млн. руб.</t>
  </si>
  <si>
    <t>млн. рублей, если не указано иное</t>
  </si>
  <si>
    <t>Размер инвестированного капитала до перехода на метод доходности инвестированного капитала на начало года</t>
  </si>
  <si>
    <t>Параметры, вводимые в соответствии с конкурсной документацией</t>
  </si>
  <si>
    <t>индекс цен на холодную воду, %</t>
  </si>
  <si>
    <t>индекс цен на электрическую энергию, %</t>
  </si>
  <si>
    <t>индекс цен на тепловую энергию, %</t>
  </si>
  <si>
    <t xml:space="preserve">средневзвещенный по источникам индекс цен на топливо. Расчитывается как отношение плановых  (расчетных) цен на  условное топливо, определенных в соответствии с МУ в тепле на каждый период, к соответствующим плановым (расчетным ценам) предшествующего периода, % </t>
  </si>
  <si>
    <t>концессионная плата или арендная плата</t>
  </si>
  <si>
    <t>прочие неподконтрольные расходы в соответствии с Основами, без учета налога на прибыль, концессионной платы, арендной платы, экономически обоснованных расходов, понесенных организацией, но не учтенных при установлении тарифов</t>
  </si>
  <si>
    <t xml:space="preserve">Норматив чистого оборотного капитала в % от НВВ </t>
  </si>
  <si>
    <t>Долгосрочные параметры</t>
  </si>
  <si>
    <t>Расходы на энергетические ресурсы</t>
  </si>
  <si>
    <t>расходы на топливо</t>
  </si>
  <si>
    <t>Ставка дисконтирования</t>
  </si>
  <si>
    <t>НВВ в 0 год</t>
  </si>
  <si>
    <t>Прочие показатели</t>
  </si>
  <si>
    <t>Метод регулирования (1 - метод RAB, 0 - метод индексации)</t>
  </si>
  <si>
    <t>Параметры, вводимые в соответствии с конкурсным предложением (заявке на участие в конкурсе на заключение договора аренды)</t>
  </si>
  <si>
    <t>Нормативный уровень прибыли, %</t>
  </si>
  <si>
    <t>концессионное соглашение</t>
  </si>
  <si>
    <t>договор аренды</t>
  </si>
  <si>
    <t xml:space="preserve">метод доходности инвестированного капитала </t>
  </si>
  <si>
    <t>метод индексации</t>
  </si>
  <si>
    <t>РАСЧЕТ ДИСКОНТИРОВАННОЙ ВАЛОВОЙ ВЫРУЧКИ</t>
  </si>
  <si>
    <t>Вид объектов, в отношении которых проводится конкурс:</t>
  </si>
  <si>
    <t>Вид договора:</t>
  </si>
  <si>
    <t>Метод регулирования тарифов:</t>
  </si>
  <si>
    <t>Срок договора, лет:</t>
  </si>
  <si>
    <t>6-ый долгосрочный период</t>
  </si>
  <si>
    <t>7 долгосрочный период</t>
  </si>
  <si>
    <t>Предельный размер средств на создание (реконструкцию) объекта концессионного соглашения (объекта, передаваемого в соответствии с договором аренды)</t>
  </si>
  <si>
    <t xml:space="preserve">Базовый уровень операционных расходов, млн. р </t>
  </si>
  <si>
    <t>Объем расходов, финансируемых за счет средств концедента, на создание (реконструкцию) объекта концессионного соглашения</t>
  </si>
  <si>
    <t>Объем расходов, финансируемых за счет средств концедента, на использование (эксплуатацию) объекта концессионного соглашения</t>
  </si>
  <si>
    <t>Объем финансовой поддержки,  предоставляемой арендодателем арендаторув целях возмещения затрат или недополученных доходов в связи с производством, поставками товаров, оказанием услуг</t>
  </si>
  <si>
    <t>Цены на энергетические ресурсы в 0 году</t>
  </si>
  <si>
    <t>Средневзвешенная цена на условное топливо  с учетом затрат на его доставку и хранение,  руб/ТУТ</t>
  </si>
  <si>
    <t>Потери и потребление энергоресурсов</t>
  </si>
  <si>
    <t>Неподконтрольные расходы</t>
  </si>
  <si>
    <t>ПОКАЗАТЕЛИ (млн руб если не указано иное)</t>
  </si>
  <si>
    <t>7-ый долгосрочный период</t>
  </si>
  <si>
    <t>Статьи затрат, млн. руб.</t>
  </si>
  <si>
    <t>объем потребления электроэнергии, тыс. кВт. Ч.</t>
  </si>
  <si>
    <t>Нормативный уровень прибыли</t>
  </si>
  <si>
    <t>Полезный отпуск, тыс. м3</t>
  </si>
  <si>
    <t>удельные расходы на оплату топлива, руб/ТУТ</t>
  </si>
  <si>
    <t xml:space="preserve">Покупка тепловой энергии без учета покупки на возмещение потерь тепловой энергии, тыс. Гкал. </t>
  </si>
  <si>
    <t>Средневзвешенная стоимость покупки 1 Гкал, руб/Гкал</t>
  </si>
  <si>
    <t>средневзвешенная стоимость покупки тепловой энергии, руб/Гкал</t>
  </si>
  <si>
    <t xml:space="preserve">расходы на покупку тепловой энергии </t>
  </si>
  <si>
    <t>Средневзвешенная стоимость покупки 1 кВ.ч. электрической энергии, руб/кВт.ч</t>
  </si>
  <si>
    <t>объем покупки тепловой энергии без учета покупки на возмещение потерь, тыс. Гкал</t>
  </si>
  <si>
    <t>Операционные расходы</t>
  </si>
  <si>
    <t>Доходность:</t>
  </si>
  <si>
    <t>Год срока действтия соглашения (договора)</t>
  </si>
  <si>
    <t>Показатель, млн. р.</t>
  </si>
  <si>
    <t>Ввод даннных осуществляется на листах "основные условия", "конкурсная документация" и "конкурсные предложения" с помощью элементов управления и ячеек ввода, выделенных голубым цветом. Результаты расчета представлены на листе "результат расчета". Подробности расчета представлены на листах соответствуюшего метода регулирования тарифов: "расчет индексация" и "расчет RAB".</t>
  </si>
  <si>
    <t>Для расчета дисконтированной валовой выручки стоимостные показатели начиная со второго года и для последующих периодов вводятся в ценах 1 года срока действия соглашения (договора).</t>
  </si>
  <si>
    <t>Данные в таблице заполняются вручную</t>
  </si>
  <si>
    <t>проверка (предельный размер средств концессионера на строительство, реконструкцию объекта-плата за подключение &lt;0 - да или нет)</t>
  </si>
  <si>
    <t>Проверка (предельный размер средств концессионера на строительство, реконструкцию объекта-плата за подключение &lt;0: да или нет)</t>
  </si>
  <si>
    <t>Амортизация основных средств, существующих на момент передачи в аренду или концессию</t>
  </si>
  <si>
    <t>Инвестиционная программа</t>
  </si>
  <si>
    <t>амортизация инвестиций 1 года</t>
  </si>
  <si>
    <t>амортизация инвестиций 2 года</t>
  </si>
  <si>
    <t>амортизация инвестиций 3 года</t>
  </si>
  <si>
    <t>амортизация инвестиций 4 года</t>
  </si>
  <si>
    <t>амортизация инвестиций 5 года</t>
  </si>
  <si>
    <t>амортизация инвестиций 6 года</t>
  </si>
  <si>
    <t>амортизация инвестиций 7 года</t>
  </si>
  <si>
    <t>амортизация инвестиций 8 года</t>
  </si>
  <si>
    <t>амортизация инвестиций 9 года</t>
  </si>
  <si>
    <t>амортизация инвестиций 10 года</t>
  </si>
  <si>
    <t>Амортизация новых инвестиций</t>
  </si>
  <si>
    <t>Срок амортизации основных средств созданных, реконструированных, модернизированных инвестором</t>
  </si>
  <si>
    <t>Итого амортизация</t>
  </si>
  <si>
    <t>Объем отпуска тепловой энергии, тыс. Гкал</t>
  </si>
  <si>
    <t>Потери тепловой энергии, возмещаемые за счет покупки тепловой энергии, в % от объема потерь тепловой энергии</t>
  </si>
  <si>
    <t xml:space="preserve">Плата за подключение к тепловым сетям </t>
  </si>
  <si>
    <t>объекты централизованных систем теплоснабжения (открытых систем горячего водоснабжения)</t>
  </si>
  <si>
    <t>Тепловая энергия (в том числе тепловая энергия в составе горячей воды)</t>
  </si>
  <si>
    <t>Расходы на холодную воду (теплоноситель) в составе тарифа на тепловую энергию</t>
  </si>
  <si>
    <t>Средневзвешенная стоимость покупки (производства) 1 м 3 холодной воды или теплоносителя, руб/м3</t>
  </si>
  <si>
    <t>средневзвешенная стоимость покупки и производства холодной воды или теплоносителя, руб/м3</t>
  </si>
  <si>
    <t>объем потребления холодной воды (теплоносителя) для производства тепловой энергии, тыс. м3</t>
  </si>
  <si>
    <t>Холодная вода  в составе горячей воды и (или) теплоноситель</t>
  </si>
  <si>
    <t>объем отпуска холодной воды в составе горячей воды или объем отпуска теплоносителя, тыс. м3</t>
  </si>
  <si>
    <t>Тариф на теплоноситель, руб/м3</t>
  </si>
  <si>
    <t>Тариф на теплоноситель, установленный в 0 году, или прогнозный тариф на теплоноситель в ценах 0 года, руб/м3</t>
  </si>
  <si>
    <t>НВВ компонента на холодную воду в составе горячей воды и (или) НВВ от продажи теплоносителя на теплоноситель</t>
  </si>
  <si>
    <t>НВВ компонент на холодную воду и (или) продажа теплоносителя</t>
  </si>
  <si>
    <t>НВВ тепловая энергия, в том числе тепловая энергия в составе горячей воды,  млн. руб.</t>
  </si>
  <si>
    <t>Тепловая энергия, компонент на холодную воду в составе горячей воды, теплоноситель</t>
  </si>
  <si>
    <t>Суммарная дисконтированная валовая выручка за срок договора</t>
  </si>
  <si>
    <t>в сфере теплоснабжения</t>
  </si>
  <si>
    <t>Индекс капитальных вложений, %</t>
  </si>
  <si>
    <t>Ставка налога на имущество</t>
  </si>
  <si>
    <t>Удельный расход условного топлива на 1 Гкал тепловой энергии, отпущенной с источников концессионера (арендатора), ТУТ/Гкал</t>
  </si>
  <si>
    <t>Удельный расход электрической энергии на 1 Гкал тепловой энергии, отпущенной с источников концессионера (арендатора), кВ.ч./Гкал</t>
  </si>
  <si>
    <t>Потери тепловой энергии всего, в % от  от производства (покупки) тепловой энергии, поданной в сеть</t>
  </si>
  <si>
    <t>Доля покупки тепловой энергии в составе горячей воды, поданной в сеть , %</t>
  </si>
  <si>
    <t xml:space="preserve">Прогнозные индексы цен </t>
  </si>
  <si>
    <t>выплаты по договорам займа и кредитным договорам, включая выплату основного долга и процентов, в случае установления тарифов методом индексации</t>
  </si>
  <si>
    <t>налог на имущество, существуюшее на момент передачи в аренду или концессию</t>
  </si>
  <si>
    <t>доля операционных расходов, относящихся к деятельности по передаче тепловой энергии, %</t>
  </si>
  <si>
    <t>Количество активов, относящихя к деятельности по передаче тепловой энергии, УЕ</t>
  </si>
  <si>
    <t>Установленная мощность источников тепловой энергии, Гкал/ч</t>
  </si>
  <si>
    <t>Уровень потерь тепловой энергии всего, в %  от тепловой энергии, поданной в сеть</t>
  </si>
  <si>
    <t>Удельный расход топлива в расчете на тепловую энергию, отпущенную с источников концессионера (арендатора), ТУТ/Гкал</t>
  </si>
  <si>
    <t>Удельный расход электрической энергии в расчете на 1 Гкал тепловой энергии, поданной в сеть, кВ.ч./Гкал</t>
  </si>
  <si>
    <t>Плата концедента, если не предусмотрены расходы концедента на создание, реконструкцию, использование и эксплуатацию объекта концессионного соглашения</t>
  </si>
  <si>
    <t>ИКА средневзвешенный</t>
  </si>
  <si>
    <t>ИКА, по передаче тепловой энергии</t>
  </si>
  <si>
    <t>ИКА по производству тепловой энергии</t>
  </si>
  <si>
    <t>ИПЦ</t>
  </si>
  <si>
    <t>Базисные индексы (база год, предшествующий 1-му году концессии, аренды)</t>
  </si>
  <si>
    <t>объем потребления топлива , тыс. ТУТ</t>
  </si>
  <si>
    <t>Налог на имущество</t>
  </si>
  <si>
    <t>Стоимость основных средств,созданных, реконструированных концессионером, арендатором, введенных в эксплуатацию на начало года</t>
  </si>
  <si>
    <t>амортизация инвестиций 11 года</t>
  </si>
  <si>
    <t>амортизация инвестиций 12 года</t>
  </si>
  <si>
    <t>амортизация инвестиций 13 года</t>
  </si>
  <si>
    <t>амортизация инвестиций 14 года</t>
  </si>
  <si>
    <t>амортизация инвестиций 15 года</t>
  </si>
  <si>
    <t>амортизация инвестиций 16 года</t>
  </si>
  <si>
    <t>амортизация инвестиций 17 года</t>
  </si>
  <si>
    <t>амортизация инвестиций 18 года</t>
  </si>
  <si>
    <t>амортизация инвестиций 19 года</t>
  </si>
  <si>
    <t>амортизация инвестиций 20 года</t>
  </si>
  <si>
    <t>амортизация инвестиций 21 года</t>
  </si>
  <si>
    <t>амортизация инвестиций 22 года</t>
  </si>
  <si>
    <t>амортизация инвестиций 23 года</t>
  </si>
  <si>
    <t>амортизация инвестиций 24 года</t>
  </si>
  <si>
    <t>амортизация инвестиций 25 года</t>
  </si>
  <si>
    <t>амортизация инвестиций 26 года</t>
  </si>
  <si>
    <t>амортизация инвестиций 27 года</t>
  </si>
  <si>
    <t>амортизация инвестиций 28 года</t>
  </si>
  <si>
    <t>амортизация инвестиций 29 года</t>
  </si>
  <si>
    <t>Расход холодной воды (теплоносителя) на 1 Гкал тепловой энергии, поданной в сеть, тыс. м3</t>
  </si>
  <si>
    <t>Расходы, финансируемые концедентом на использование (экплуатацию) объекта концессионного соглашения или объем финансовой поддержки арендатору</t>
  </si>
  <si>
    <t>Расходы, финансируемые концедентом, на создание и (или) реконструкцию объекта концессионного соглашения</t>
  </si>
  <si>
    <t>Плата концедента</t>
  </si>
  <si>
    <t>возрат инвестиций совершенных в 11 год</t>
  </si>
  <si>
    <t>возрат инвестиций совершенных в 12 год</t>
  </si>
  <si>
    <t>возрат инвестиций совершенных в 13 год</t>
  </si>
  <si>
    <t>возрат инвестиций совершенных в 14 год</t>
  </si>
  <si>
    <t>возрат инвестиций совершенных в 15 год</t>
  </si>
  <si>
    <t>возрат инвестиций совершенных в 16 год</t>
  </si>
  <si>
    <t>возрат инвестиций совершенных в 17 год</t>
  </si>
  <si>
    <t>возрат инвестиций совершенных в 18 год</t>
  </si>
  <si>
    <t>возрат инвестиций совершенных в 19 год</t>
  </si>
  <si>
    <t>возрат инвестиций совершенных в 20 год</t>
  </si>
  <si>
    <t>возрат инвестиций совершенных в 21 год</t>
  </si>
  <si>
    <t>возрат инвестиций совершенных в 22 год</t>
  </si>
  <si>
    <t>возрат инвестиций совершенных в 23 год</t>
  </si>
  <si>
    <t>возрат инвестиций совершенных в 24 год</t>
  </si>
  <si>
    <t>возрат инвестиций совершенных в 25 год</t>
  </si>
  <si>
    <t>возрат инвестиций совершенных в 26 год</t>
  </si>
  <si>
    <t>возрат инвестиций совершенных в 27 год</t>
  </si>
  <si>
    <t>возрат инвестиций совершенных в 28 год</t>
  </si>
  <si>
    <t>возрат инвестиций совершенных в 29 год</t>
  </si>
  <si>
    <t>возрат  инвестиций совершенных в 1 год</t>
  </si>
  <si>
    <t>возрат  инвестиций совершенных в 2 год</t>
  </si>
  <si>
    <t>возрат  инвестиций совершенных в 3 год</t>
  </si>
  <si>
    <t>возрат  инвестиций совершенных в 4 год</t>
  </si>
  <si>
    <t>возрат  инвестиций совершенных в 5 год</t>
  </si>
  <si>
    <t>возрат  инвестиций совершенных в 6 год</t>
  </si>
  <si>
    <t>возрат  инвестиций совершенных в 7 год</t>
  </si>
  <si>
    <t>возрат  инвестиций совершенных в 8 год</t>
  </si>
  <si>
    <t>возрат  инвестиций совершенных в 9 год</t>
  </si>
  <si>
    <t>возрат  инвестиций совершенных в 10 год</t>
  </si>
  <si>
    <t>объем покупки тепловой энергии, тыс. Гкал</t>
  </si>
  <si>
    <t xml:space="preserve">Тепловая энергия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</si>
</sst>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0.000"/>
    <numFmt numFmtId="168" formatCode="0.0000"/>
    <numFmt numFmtId="169" formatCode="#,##0.000"/>
    <numFmt numFmtId="170" formatCode="0.00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0.000000"/>
    <numFmt numFmtId="177" formatCode="0.00000"/>
    <numFmt numFmtId="178" formatCode="0.0000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 horizontal="left" wrapText="1" indent="1"/>
    </xf>
    <xf numFmtId="0" fontId="0" fillId="33" borderId="0" xfId="0" applyFont="1" applyFill="1" applyAlignment="1">
      <alignment horizontal="left" vertical="top" wrapText="1" indent="1"/>
    </xf>
    <xf numFmtId="0" fontId="0" fillId="33" borderId="0" xfId="0" applyFill="1" applyAlignment="1">
      <alignment horizontal="left" vertical="top" wrapText="1" indent="1"/>
    </xf>
    <xf numFmtId="0" fontId="4" fillId="33" borderId="0" xfId="0" applyFont="1" applyFill="1" applyAlignment="1">
      <alignment horizontal="left" vertical="top" wrapText="1" indent="4"/>
    </xf>
    <xf numFmtId="0" fontId="4" fillId="33" borderId="0" xfId="0" applyFont="1" applyFill="1" applyAlignment="1">
      <alignment horizontal="left" vertical="top" wrapText="1" indent="3"/>
    </xf>
    <xf numFmtId="0" fontId="0" fillId="33" borderId="0" xfId="0" applyFill="1" applyAlignment="1">
      <alignment horizontal="left" vertical="top" wrapText="1" indent="3"/>
    </xf>
    <xf numFmtId="0" fontId="4" fillId="33" borderId="0" xfId="0" applyFont="1" applyFill="1" applyAlignment="1">
      <alignment horizontal="left" vertical="top" wrapText="1" indent="5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0" fillId="33" borderId="0" xfId="0" applyFill="1" applyBorder="1" applyAlignment="1">
      <alignment horizontal="left" vertical="top" wrapText="1" indent="1"/>
    </xf>
    <xf numFmtId="0" fontId="7" fillId="33" borderId="0" xfId="0" applyFont="1" applyFill="1" applyAlignment="1">
      <alignment vertical="top"/>
    </xf>
    <xf numFmtId="0" fontId="7" fillId="35" borderId="0" xfId="0" applyFont="1" applyFill="1" applyAlignment="1">
      <alignment vertical="top"/>
    </xf>
    <xf numFmtId="0" fontId="7" fillId="36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3" borderId="10" xfId="0" applyFont="1" applyFill="1" applyBorder="1" applyAlignment="1">
      <alignment vertical="top"/>
    </xf>
    <xf numFmtId="9" fontId="7" fillId="33" borderId="0" xfId="55" applyFont="1" applyFill="1" applyBorder="1" applyAlignment="1" applyProtection="1">
      <alignment vertical="top"/>
      <protection/>
    </xf>
    <xf numFmtId="1" fontId="7" fillId="33" borderId="0" xfId="55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9" fontId="7" fillId="33" borderId="0" xfId="0" applyNumberFormat="1" applyFont="1" applyFill="1" applyBorder="1" applyAlignment="1">
      <alignment vertical="top"/>
    </xf>
    <xf numFmtId="0" fontId="0" fillId="34" borderId="0" xfId="0" applyFill="1" applyAlignment="1">
      <alignment vertical="top"/>
    </xf>
    <xf numFmtId="0" fontId="3" fillId="33" borderId="0" xfId="0" applyFont="1" applyFill="1" applyAlignment="1">
      <alignment horizontal="left" vertical="top" wrapText="1" indent="1"/>
    </xf>
    <xf numFmtId="0" fontId="11" fillId="33" borderId="0" xfId="0" applyFont="1" applyFill="1" applyAlignment="1">
      <alignment horizontal="left" vertical="top" wrapText="1" indent="2"/>
    </xf>
    <xf numFmtId="0" fontId="11" fillId="33" borderId="11" xfId="0" applyFont="1" applyFill="1" applyBorder="1" applyAlignment="1">
      <alignment horizontal="left" vertical="top" wrapText="1" indent="2"/>
    </xf>
    <xf numFmtId="0" fontId="7" fillId="37" borderId="12" xfId="0" applyFont="1" applyFill="1" applyBorder="1" applyAlignment="1">
      <alignment horizontal="center" vertical="top"/>
    </xf>
    <xf numFmtId="3" fontId="1" fillId="33" borderId="0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3" fontId="9" fillId="33" borderId="0" xfId="0" applyNumberFormat="1" applyFont="1" applyFill="1" applyBorder="1" applyAlignment="1">
      <alignment vertical="top"/>
    </xf>
    <xf numFmtId="0" fontId="7" fillId="38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center"/>
    </xf>
    <xf numFmtId="9" fontId="7" fillId="33" borderId="0" xfId="55" applyFont="1" applyFill="1" applyBorder="1" applyAlignment="1">
      <alignment vertical="top"/>
    </xf>
    <xf numFmtId="9" fontId="10" fillId="33" borderId="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left" vertical="top" wrapText="1" indent="1"/>
    </xf>
    <xf numFmtId="0" fontId="8" fillId="33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164" fontId="7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/>
    </xf>
    <xf numFmtId="166" fontId="7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top"/>
    </xf>
    <xf numFmtId="9" fontId="7" fillId="33" borderId="13" xfId="0" applyNumberFormat="1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9" fontId="7" fillId="33" borderId="14" xfId="55" applyFont="1" applyFill="1" applyBorder="1" applyAlignment="1" applyProtection="1">
      <alignment vertical="top"/>
      <protection/>
    </xf>
    <xf numFmtId="9" fontId="7" fillId="33" borderId="14" xfId="0" applyNumberFormat="1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vertical="top"/>
    </xf>
    <xf numFmtId="0" fontId="0" fillId="33" borderId="14" xfId="0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 horizontal="left" vertical="top" wrapText="1" indent="2"/>
    </xf>
    <xf numFmtId="0" fontId="0" fillId="0" borderId="14" xfId="0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2" fillId="39" borderId="0" xfId="0" applyFont="1" applyFill="1" applyBorder="1" applyAlignment="1">
      <alignment horizontal="left" vertical="top" indent="1"/>
    </xf>
    <xf numFmtId="0" fontId="7" fillId="39" borderId="0" xfId="0" applyFont="1" applyFill="1" applyBorder="1" applyAlignment="1">
      <alignment vertical="top"/>
    </xf>
    <xf numFmtId="0" fontId="7" fillId="40" borderId="0" xfId="0" applyFont="1" applyFill="1" applyBorder="1" applyAlignment="1">
      <alignment vertical="top"/>
    </xf>
    <xf numFmtId="0" fontId="8" fillId="39" borderId="0" xfId="0" applyFont="1" applyFill="1" applyBorder="1" applyAlignment="1">
      <alignment vertical="top"/>
    </xf>
    <xf numFmtId="0" fontId="0" fillId="39" borderId="0" xfId="0" applyFill="1" applyBorder="1" applyAlignment="1">
      <alignment vertical="top"/>
    </xf>
    <xf numFmtId="0" fontId="0" fillId="39" borderId="0" xfId="0" applyFill="1" applyAlignment="1">
      <alignment vertical="top"/>
    </xf>
    <xf numFmtId="0" fontId="0" fillId="41" borderId="0" xfId="0" applyFill="1" applyAlignment="1">
      <alignment/>
    </xf>
    <xf numFmtId="1" fontId="0" fillId="38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0" xfId="0" applyFont="1" applyFill="1" applyBorder="1" applyAlignment="1">
      <alignment horizontal="left" vertical="top" wrapText="1" indent="1"/>
    </xf>
    <xf numFmtId="0" fontId="6" fillId="38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/>
    </xf>
    <xf numFmtId="3" fontId="9" fillId="42" borderId="0" xfId="0" applyNumberFormat="1" applyFont="1" applyFill="1" applyBorder="1" applyAlignment="1">
      <alignment vertical="top"/>
    </xf>
    <xf numFmtId="4" fontId="9" fillId="42" borderId="0" xfId="0" applyNumberFormat="1" applyFont="1" applyFill="1" applyBorder="1" applyAlignment="1">
      <alignment vertical="top"/>
    </xf>
    <xf numFmtId="165" fontId="9" fillId="42" borderId="0" xfId="0" applyNumberFormat="1" applyFont="1" applyFill="1" applyBorder="1" applyAlignment="1">
      <alignment vertical="top"/>
    </xf>
    <xf numFmtId="3" fontId="9" fillId="34" borderId="0" xfId="0" applyNumberFormat="1" applyFont="1" applyFill="1" applyBorder="1" applyAlignment="1">
      <alignment vertical="top"/>
    </xf>
    <xf numFmtId="4" fontId="1" fillId="33" borderId="0" xfId="0" applyNumberFormat="1" applyFont="1" applyFill="1" applyBorder="1" applyAlignment="1">
      <alignment vertical="top"/>
    </xf>
    <xf numFmtId="2" fontId="0" fillId="33" borderId="0" xfId="0" applyNumberForma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3" fillId="41" borderId="20" xfId="0" applyFont="1" applyFill="1" applyBorder="1" applyAlignment="1">
      <alignment horizontal="left" vertical="top" wrapText="1" indent="1"/>
    </xf>
    <xf numFmtId="3" fontId="0" fillId="41" borderId="20" xfId="0" applyNumberFormat="1" applyFill="1" applyBorder="1" applyAlignment="1">
      <alignment/>
    </xf>
    <xf numFmtId="0" fontId="11" fillId="41" borderId="11" xfId="0" applyFont="1" applyFill="1" applyBorder="1" applyAlignment="1">
      <alignment horizontal="left" vertical="top" wrapText="1" indent="2"/>
    </xf>
    <xf numFmtId="3" fontId="0" fillId="41" borderId="11" xfId="0" applyNumberFormat="1" applyFill="1" applyBorder="1" applyAlignment="1">
      <alignment/>
    </xf>
    <xf numFmtId="0" fontId="3" fillId="41" borderId="12" xfId="0" applyFont="1" applyFill="1" applyBorder="1" applyAlignment="1">
      <alignment horizontal="left" vertical="top" wrapText="1" indent="1"/>
    </xf>
    <xf numFmtId="3" fontId="0" fillId="41" borderId="12" xfId="0" applyNumberFormat="1" applyFill="1" applyBorder="1" applyAlignment="1">
      <alignment/>
    </xf>
    <xf numFmtId="0" fontId="0" fillId="33" borderId="0" xfId="0" applyFill="1" applyAlignment="1">
      <alignment horizontal="left"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left" vertical="top" wrapText="1"/>
    </xf>
    <xf numFmtId="9" fontId="7" fillId="42" borderId="0" xfId="0" applyNumberFormat="1" applyFont="1" applyFill="1" applyBorder="1" applyAlignment="1">
      <alignment vertical="top"/>
    </xf>
    <xf numFmtId="9" fontId="10" fillId="42" borderId="0" xfId="0" applyNumberFormat="1" applyFont="1" applyFill="1" applyBorder="1" applyAlignment="1">
      <alignment vertical="top"/>
    </xf>
    <xf numFmtId="0" fontId="7" fillId="33" borderId="21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7" fillId="33" borderId="22" xfId="0" applyFont="1" applyFill="1" applyBorder="1" applyAlignment="1">
      <alignment vertical="top"/>
    </xf>
    <xf numFmtId="0" fontId="7" fillId="33" borderId="21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Alignment="1">
      <alignment horizontal="left" vertical="top" wrapText="1" indent="3"/>
    </xf>
    <xf numFmtId="4" fontId="9" fillId="33" borderId="0" xfId="0" applyNumberFormat="1" applyFont="1" applyFill="1" applyBorder="1" applyAlignment="1">
      <alignment vertical="top"/>
    </xf>
    <xf numFmtId="4" fontId="0" fillId="0" borderId="20" xfId="0" applyNumberFormat="1" applyBorder="1" applyAlignment="1">
      <alignment/>
    </xf>
    <xf numFmtId="4" fontId="0" fillId="41" borderId="11" xfId="0" applyNumberFormat="1" applyFill="1" applyBorder="1" applyAlignment="1">
      <alignment/>
    </xf>
    <xf numFmtId="0" fontId="11" fillId="0" borderId="11" xfId="0" applyFont="1" applyFill="1" applyBorder="1" applyAlignment="1">
      <alignment horizontal="left" vertical="top" wrapText="1" indent="2"/>
    </xf>
    <xf numFmtId="0" fontId="7" fillId="40" borderId="0" xfId="0" applyFont="1" applyFill="1" applyBorder="1" applyAlignment="1">
      <alignment horizontal="center" vertical="top"/>
    </xf>
    <xf numFmtId="0" fontId="7" fillId="43" borderId="14" xfId="0" applyFont="1" applyFill="1" applyBorder="1" applyAlignment="1">
      <alignment horizontal="center" vertical="top"/>
    </xf>
    <xf numFmtId="0" fontId="7" fillId="43" borderId="0" xfId="0" applyFont="1" applyFill="1" applyBorder="1" applyAlignment="1">
      <alignment horizontal="center" vertical="top"/>
    </xf>
    <xf numFmtId="0" fontId="7" fillId="40" borderId="14" xfId="0" applyFont="1" applyFill="1" applyBorder="1" applyAlignment="1">
      <alignment horizontal="center" vertical="top"/>
    </xf>
    <xf numFmtId="4" fontId="7" fillId="33" borderId="0" xfId="0" applyNumberFormat="1" applyFont="1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4" fontId="7" fillId="39" borderId="0" xfId="0" applyNumberFormat="1" applyFont="1" applyFill="1" applyBorder="1" applyAlignment="1">
      <alignment vertical="top"/>
    </xf>
    <xf numFmtId="4" fontId="7" fillId="40" borderId="0" xfId="0" applyNumberFormat="1" applyFont="1" applyFill="1" applyBorder="1" applyAlignment="1">
      <alignment vertical="top"/>
    </xf>
    <xf numFmtId="4" fontId="8" fillId="39" borderId="0" xfId="0" applyNumberFormat="1" applyFont="1" applyFill="1" applyBorder="1" applyAlignment="1">
      <alignment vertical="top"/>
    </xf>
    <xf numFmtId="4" fontId="0" fillId="39" borderId="0" xfId="0" applyNumberFormat="1" applyFill="1" applyBorder="1" applyAlignment="1">
      <alignment vertical="top"/>
    </xf>
    <xf numFmtId="2" fontId="7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2" fontId="8" fillId="34" borderId="0" xfId="0" applyNumberFormat="1" applyFont="1" applyFill="1" applyBorder="1" applyAlignment="1">
      <alignment vertical="top"/>
    </xf>
    <xf numFmtId="2" fontId="7" fillId="39" borderId="0" xfId="0" applyNumberFormat="1" applyFont="1" applyFill="1" applyBorder="1" applyAlignment="1">
      <alignment vertical="top"/>
    </xf>
    <xf numFmtId="2" fontId="7" fillId="40" borderId="0" xfId="0" applyNumberFormat="1" applyFont="1" applyFill="1" applyBorder="1" applyAlignment="1">
      <alignment vertical="top"/>
    </xf>
    <xf numFmtId="2" fontId="8" fillId="39" borderId="0" xfId="0" applyNumberFormat="1" applyFont="1" applyFill="1" applyBorder="1" applyAlignment="1">
      <alignment vertical="top"/>
    </xf>
    <xf numFmtId="2" fontId="0" fillId="39" borderId="0" xfId="0" applyNumberFormat="1" applyFill="1" applyBorder="1" applyAlignment="1">
      <alignment vertical="top"/>
    </xf>
    <xf numFmtId="2" fontId="9" fillId="34" borderId="0" xfId="0" applyNumberFormat="1" applyFont="1" applyFill="1" applyBorder="1" applyAlignment="1">
      <alignment vertical="top"/>
    </xf>
    <xf numFmtId="2" fontId="7" fillId="34" borderId="0" xfId="55" applyNumberFormat="1" applyFont="1" applyFill="1" applyBorder="1" applyAlignment="1" applyProtection="1">
      <alignment vertical="top"/>
      <protection/>
    </xf>
    <xf numFmtId="2" fontId="7" fillId="34" borderId="0" xfId="0" applyNumberFormat="1" applyFont="1" applyFill="1" applyBorder="1" applyAlignment="1">
      <alignment vertical="top"/>
    </xf>
    <xf numFmtId="2" fontId="0" fillId="34" borderId="0" xfId="0" applyNumberFormat="1" applyFill="1" applyBorder="1" applyAlignment="1">
      <alignment vertical="top"/>
    </xf>
    <xf numFmtId="10" fontId="0" fillId="33" borderId="0" xfId="55" applyNumberFormat="1" applyFill="1" applyBorder="1" applyAlignment="1">
      <alignment vertical="top"/>
    </xf>
    <xf numFmtId="10" fontId="0" fillId="33" borderId="0" xfId="55" applyNumberFormat="1" applyFill="1" applyBorder="1" applyAlignment="1" applyProtection="1">
      <alignment vertical="top"/>
      <protection/>
    </xf>
    <xf numFmtId="10" fontId="0" fillId="42" borderId="0" xfId="55" applyNumberFormat="1" applyFill="1" applyBorder="1" applyAlignment="1">
      <alignment vertical="top"/>
    </xf>
    <xf numFmtId="4" fontId="8" fillId="34" borderId="0" xfId="0" applyNumberFormat="1" applyFont="1" applyFill="1" applyBorder="1" applyAlignment="1">
      <alignment vertical="top"/>
    </xf>
    <xf numFmtId="4" fontId="7" fillId="33" borderId="0" xfId="55" applyNumberFormat="1" applyFont="1" applyFill="1" applyBorder="1" applyAlignment="1" applyProtection="1">
      <alignment vertical="top"/>
      <protection/>
    </xf>
    <xf numFmtId="4" fontId="7" fillId="34" borderId="0" xfId="55" applyNumberFormat="1" applyFont="1" applyFill="1" applyBorder="1" applyAlignment="1" applyProtection="1">
      <alignment vertical="top"/>
      <protection/>
    </xf>
    <xf numFmtId="4" fontId="7" fillId="34" borderId="0" xfId="0" applyNumberFormat="1" applyFont="1" applyFill="1" applyBorder="1" applyAlignment="1">
      <alignment vertical="top"/>
    </xf>
    <xf numFmtId="4" fontId="0" fillId="34" borderId="0" xfId="0" applyNumberFormat="1" applyFill="1" applyBorder="1" applyAlignment="1">
      <alignment vertical="top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 horizontal="left" vertical="top" wrapText="1" indent="1"/>
    </xf>
    <xf numFmtId="3" fontId="9" fillId="33" borderId="22" xfId="0" applyNumberFormat="1" applyFont="1" applyFill="1" applyBorder="1" applyAlignment="1">
      <alignment vertical="top"/>
    </xf>
    <xf numFmtId="10" fontId="0" fillId="38" borderId="11" xfId="55" applyNumberFormat="1" applyFill="1" applyBorder="1" applyAlignment="1">
      <alignment vertical="top"/>
    </xf>
    <xf numFmtId="10" fontId="0" fillId="41" borderId="11" xfId="55" applyNumberFormat="1" applyFill="1" applyBorder="1" applyAlignment="1">
      <alignment vertical="top"/>
    </xf>
    <xf numFmtId="2" fontId="9" fillId="44" borderId="11" xfId="0" applyNumberFormat="1" applyFont="1" applyFill="1" applyBorder="1" applyAlignment="1">
      <alignment vertical="top"/>
    </xf>
    <xf numFmtId="10" fontId="0" fillId="44" borderId="11" xfId="55" applyNumberFormat="1" applyFill="1" applyBorder="1" applyAlignment="1">
      <alignment vertical="top"/>
    </xf>
    <xf numFmtId="0" fontId="0" fillId="33" borderId="15" xfId="0" applyFont="1" applyFill="1" applyBorder="1" applyAlignment="1">
      <alignment horizontal="left" vertical="top" indent="1"/>
    </xf>
    <xf numFmtId="0" fontId="7" fillId="38" borderId="11" xfId="0" applyFont="1" applyFill="1" applyBorder="1" applyAlignment="1">
      <alignment/>
    </xf>
    <xf numFmtId="4" fontId="9" fillId="45" borderId="11" xfId="0" applyNumberFormat="1" applyFont="1" applyFill="1" applyBorder="1" applyAlignment="1">
      <alignment vertical="top"/>
    </xf>
    <xf numFmtId="0" fontId="0" fillId="46" borderId="15" xfId="0" applyFill="1" applyBorder="1" applyAlignment="1">
      <alignment horizontal="left" vertical="top" wrapText="1" indent="1"/>
    </xf>
    <xf numFmtId="9" fontId="0" fillId="44" borderId="11" xfId="55" applyFill="1" applyBorder="1" applyAlignment="1">
      <alignment vertical="top"/>
    </xf>
    <xf numFmtId="9" fontId="0" fillId="46" borderId="11" xfId="55" applyFill="1" applyBorder="1" applyAlignment="1">
      <alignment vertical="top"/>
    </xf>
    <xf numFmtId="10" fontId="0" fillId="38" borderId="20" xfId="55" applyNumberFormat="1" applyFill="1" applyBorder="1" applyAlignment="1">
      <alignment vertical="top"/>
    </xf>
    <xf numFmtId="10" fontId="0" fillId="41" borderId="20" xfId="55" applyNumberFormat="1" applyFill="1" applyBorder="1" applyAlignment="1">
      <alignment vertical="top"/>
    </xf>
    <xf numFmtId="10" fontId="0" fillId="41" borderId="21" xfId="55" applyNumberFormat="1" applyFill="1" applyBorder="1" applyAlignment="1">
      <alignment vertical="top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vertical="top" indent="1"/>
    </xf>
    <xf numFmtId="3" fontId="9" fillId="33" borderId="15" xfId="0" applyNumberFormat="1" applyFont="1" applyFill="1" applyBorder="1" applyAlignment="1">
      <alignment vertical="top"/>
    </xf>
    <xf numFmtId="0" fontId="0" fillId="33" borderId="15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164" fontId="7" fillId="33" borderId="15" xfId="0" applyNumberFormat="1" applyFont="1" applyFill="1" applyBorder="1" applyAlignment="1">
      <alignment vertical="top"/>
    </xf>
    <xf numFmtId="4" fontId="9" fillId="33" borderId="15" xfId="0" applyNumberFormat="1" applyFont="1" applyFill="1" applyBorder="1" applyAlignment="1">
      <alignment vertical="top"/>
    </xf>
    <xf numFmtId="4" fontId="7" fillId="33" borderId="15" xfId="0" applyNumberFormat="1" applyFont="1" applyFill="1" applyBorder="1" applyAlignment="1">
      <alignment vertical="top"/>
    </xf>
    <xf numFmtId="4" fontId="7" fillId="38" borderId="15" xfId="0" applyNumberFormat="1" applyFont="1" applyFill="1" applyBorder="1" applyAlignment="1">
      <alignment vertical="top"/>
    </xf>
    <xf numFmtId="4" fontId="0" fillId="33" borderId="15" xfId="0" applyNumberFormat="1" applyFill="1" applyBorder="1" applyAlignment="1">
      <alignment/>
    </xf>
    <xf numFmtId="4" fontId="0" fillId="33" borderId="15" xfId="0" applyNumberFormat="1" applyFill="1" applyBorder="1" applyAlignment="1">
      <alignment vertical="top"/>
    </xf>
    <xf numFmtId="0" fontId="0" fillId="38" borderId="15" xfId="0" applyFill="1" applyBorder="1" applyAlignment="1">
      <alignment vertical="top"/>
    </xf>
    <xf numFmtId="0" fontId="7" fillId="38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horizontal="left" vertical="top" wrapText="1" indent="1"/>
    </xf>
    <xf numFmtId="4" fontId="1" fillId="38" borderId="15" xfId="0" applyNumberFormat="1" applyFont="1" applyFill="1" applyBorder="1" applyAlignment="1">
      <alignment vertical="top"/>
    </xf>
    <xf numFmtId="4" fontId="7" fillId="43" borderId="15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 indent="5"/>
    </xf>
    <xf numFmtId="9" fontId="0" fillId="33" borderId="15" xfId="55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9" fontId="7" fillId="33" borderId="15" xfId="55" applyFont="1" applyFill="1" applyBorder="1" applyAlignment="1" applyProtection="1">
      <alignment vertical="top"/>
      <protection/>
    </xf>
    <xf numFmtId="9" fontId="7" fillId="33" borderId="15" xfId="0" applyNumberFormat="1" applyFont="1" applyFill="1" applyBorder="1" applyAlignment="1">
      <alignment vertical="top"/>
    </xf>
    <xf numFmtId="0" fontId="2" fillId="39" borderId="15" xfId="0" applyFont="1" applyFill="1" applyBorder="1" applyAlignment="1">
      <alignment horizontal="left" vertical="top" indent="1"/>
    </xf>
    <xf numFmtId="4" fontId="7" fillId="39" borderId="15" xfId="0" applyNumberFormat="1" applyFont="1" applyFill="1" applyBorder="1" applyAlignment="1">
      <alignment vertical="top"/>
    </xf>
    <xf numFmtId="4" fontId="7" fillId="40" borderId="15" xfId="0" applyNumberFormat="1" applyFont="1" applyFill="1" applyBorder="1" applyAlignment="1">
      <alignment vertical="top"/>
    </xf>
    <xf numFmtId="4" fontId="8" fillId="39" borderId="15" xfId="0" applyNumberFormat="1" applyFont="1" applyFill="1" applyBorder="1" applyAlignment="1">
      <alignment vertical="top"/>
    </xf>
    <xf numFmtId="4" fontId="0" fillId="39" borderId="15" xfId="0" applyNumberFormat="1" applyFill="1" applyBorder="1" applyAlignment="1">
      <alignment vertical="top"/>
    </xf>
    <xf numFmtId="0" fontId="0" fillId="39" borderId="15" xfId="0" applyFill="1" applyBorder="1" applyAlignment="1">
      <alignment vertical="top"/>
    </xf>
    <xf numFmtId="4" fontId="9" fillId="38" borderId="11" xfId="0" applyNumberFormat="1" applyFon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 indent="1"/>
    </xf>
    <xf numFmtId="0" fontId="4" fillId="33" borderId="11" xfId="0" applyFont="1" applyFill="1" applyBorder="1" applyAlignment="1">
      <alignment horizontal="left" vertical="top" wrapText="1" indent="5"/>
    </xf>
    <xf numFmtId="0" fontId="0" fillId="33" borderId="11" xfId="0" applyFill="1" applyBorder="1" applyAlignment="1">
      <alignment vertical="top"/>
    </xf>
    <xf numFmtId="0" fontId="7" fillId="33" borderId="11" xfId="0" applyFont="1" applyFill="1" applyBorder="1" applyAlignment="1">
      <alignment vertical="top"/>
    </xf>
    <xf numFmtId="3" fontId="9" fillId="33" borderId="11" xfId="0" applyNumberFormat="1" applyFont="1" applyFill="1" applyBorder="1" applyAlignment="1">
      <alignment vertical="top"/>
    </xf>
    <xf numFmtId="9" fontId="0" fillId="46" borderId="20" xfId="55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33" borderId="11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indent="1"/>
    </xf>
    <xf numFmtId="2" fontId="7" fillId="38" borderId="1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 indent="1"/>
    </xf>
    <xf numFmtId="0" fontId="0" fillId="33" borderId="16" xfId="0" applyFont="1" applyFill="1" applyBorder="1" applyAlignment="1">
      <alignment horizontal="left" wrapText="1" indent="1"/>
    </xf>
    <xf numFmtId="2" fontId="7" fillId="38" borderId="12" xfId="0" applyNumberFormat="1" applyFont="1" applyFill="1" applyBorder="1" applyAlignment="1">
      <alignment horizontal="center" vertical="center"/>
    </xf>
    <xf numFmtId="10" fontId="0" fillId="45" borderId="11" xfId="55" applyNumberFormat="1" applyFill="1" applyBorder="1" applyAlignment="1">
      <alignment vertical="top"/>
    </xf>
    <xf numFmtId="10" fontId="10" fillId="45" borderId="11" xfId="0" applyNumberFormat="1" applyFont="1" applyFill="1" applyBorder="1" applyAlignment="1">
      <alignment vertical="top"/>
    </xf>
    <xf numFmtId="10" fontId="7" fillId="38" borderId="11" xfId="0" applyNumberFormat="1" applyFont="1" applyFill="1" applyBorder="1" applyAlignment="1">
      <alignment vertical="top"/>
    </xf>
    <xf numFmtId="2" fontId="7" fillId="38" borderId="11" xfId="0" applyNumberFormat="1" applyFont="1" applyFill="1" applyBorder="1" applyAlignment="1">
      <alignment vertical="top"/>
    </xf>
    <xf numFmtId="2" fontId="9" fillId="38" borderId="11" xfId="0" applyNumberFormat="1" applyFont="1" applyFill="1" applyBorder="1" applyAlignment="1">
      <alignment vertical="top"/>
    </xf>
    <xf numFmtId="4" fontId="1" fillId="38" borderId="11" xfId="0" applyNumberFormat="1" applyFont="1" applyFill="1" applyBorder="1" applyAlignment="1">
      <alignment vertical="top"/>
    </xf>
    <xf numFmtId="4" fontId="0" fillId="38" borderId="11" xfId="0" applyNumberFormat="1" applyFill="1" applyBorder="1" applyAlignment="1">
      <alignment/>
    </xf>
    <xf numFmtId="4" fontId="0" fillId="38" borderId="11" xfId="0" applyNumberFormat="1" applyFill="1" applyBorder="1" applyAlignment="1">
      <alignment vertical="top"/>
    </xf>
    <xf numFmtId="0" fontId="7" fillId="40" borderId="11" xfId="0" applyFont="1" applyFill="1" applyBorder="1" applyAlignment="1">
      <alignment horizontal="center" vertical="top"/>
    </xf>
    <xf numFmtId="0" fontId="7" fillId="43" borderId="11" xfId="0" applyFont="1" applyFill="1" applyBorder="1" applyAlignment="1">
      <alignment horizontal="center" vertical="top"/>
    </xf>
    <xf numFmtId="0" fontId="0" fillId="47" borderId="15" xfId="0" applyFill="1" applyBorder="1" applyAlignment="1">
      <alignment horizontal="left" vertical="top" wrapText="1" indent="1"/>
    </xf>
    <xf numFmtId="2" fontId="9" fillId="47" borderId="11" xfId="0" applyNumberFormat="1" applyFont="1" applyFill="1" applyBorder="1" applyAlignment="1">
      <alignment vertical="top"/>
    </xf>
    <xf numFmtId="4" fontId="9" fillId="47" borderId="15" xfId="0" applyNumberFormat="1" applyFont="1" applyFill="1" applyBorder="1" applyAlignment="1">
      <alignment vertical="top"/>
    </xf>
    <xf numFmtId="4" fontId="0" fillId="47" borderId="15" xfId="0" applyNumberFormat="1" applyFill="1" applyBorder="1" applyAlignment="1">
      <alignment/>
    </xf>
    <xf numFmtId="0" fontId="0" fillId="47" borderId="15" xfId="0" applyFill="1" applyBorder="1" applyAlignment="1">
      <alignment/>
    </xf>
    <xf numFmtId="0" fontId="0" fillId="47" borderId="15" xfId="0" applyFill="1" applyBorder="1" applyAlignment="1">
      <alignment vertical="top"/>
    </xf>
    <xf numFmtId="0" fontId="3" fillId="33" borderId="11" xfId="0" applyFont="1" applyFill="1" applyBorder="1" applyAlignment="1">
      <alignment horizontal="left" vertical="top" wrapText="1" indent="1"/>
    </xf>
    <xf numFmtId="2" fontId="9" fillId="33" borderId="15" xfId="0" applyNumberFormat="1" applyFont="1" applyFill="1" applyBorder="1" applyAlignment="1">
      <alignment vertical="top"/>
    </xf>
    <xf numFmtId="2" fontId="9" fillId="46" borderId="11" xfId="0" applyNumberFormat="1" applyFont="1" applyFill="1" applyBorder="1" applyAlignment="1">
      <alignment vertical="top"/>
    </xf>
    <xf numFmtId="9" fontId="0" fillId="38" borderId="11" xfId="55" applyFill="1" applyBorder="1" applyAlignment="1">
      <alignment vertical="top"/>
    </xf>
    <xf numFmtId="2" fontId="7" fillId="33" borderId="15" xfId="0" applyNumberFormat="1" applyFont="1" applyFill="1" applyBorder="1" applyAlignment="1">
      <alignment vertical="top"/>
    </xf>
    <xf numFmtId="2" fontId="0" fillId="33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 vertical="top"/>
    </xf>
    <xf numFmtId="2" fontId="7" fillId="44" borderId="11" xfId="0" applyNumberFormat="1" applyFont="1" applyFill="1" applyBorder="1" applyAlignment="1">
      <alignment vertical="top"/>
    </xf>
    <xf numFmtId="4" fontId="7" fillId="38" borderId="11" xfId="0" applyNumberFormat="1" applyFont="1" applyFill="1" applyBorder="1" applyAlignment="1">
      <alignment vertical="top"/>
    </xf>
    <xf numFmtId="4" fontId="7" fillId="46" borderId="11" xfId="0" applyNumberFormat="1" applyFont="1" applyFill="1" applyBorder="1" applyAlignment="1">
      <alignment vertical="top"/>
    </xf>
    <xf numFmtId="9" fontId="1" fillId="46" borderId="11" xfId="0" applyNumberFormat="1" applyFont="1" applyFill="1" applyBorder="1" applyAlignment="1">
      <alignment vertical="top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vertical="top"/>
    </xf>
    <xf numFmtId="166" fontId="10" fillId="48" borderId="11" xfId="0" applyNumberFormat="1" applyFont="1" applyFill="1" applyBorder="1" applyAlignment="1">
      <alignment vertical="top"/>
    </xf>
    <xf numFmtId="2" fontId="9" fillId="48" borderId="11" xfId="0" applyNumberFormat="1" applyFont="1" applyFill="1" applyBorder="1" applyAlignment="1">
      <alignment vertical="top"/>
    </xf>
    <xf numFmtId="2" fontId="9" fillId="48" borderId="16" xfId="0" applyNumberFormat="1" applyFont="1" applyFill="1" applyBorder="1" applyAlignment="1">
      <alignment vertical="top"/>
    </xf>
    <xf numFmtId="0" fontId="0" fillId="33" borderId="11" xfId="0" applyFont="1" applyFill="1" applyBorder="1" applyAlignment="1">
      <alignment horizontal="left" wrapText="1" indent="1"/>
    </xf>
    <xf numFmtId="4" fontId="1" fillId="46" borderId="11" xfId="0" applyNumberFormat="1" applyFont="1" applyFill="1" applyBorder="1" applyAlignment="1">
      <alignment vertical="top"/>
    </xf>
    <xf numFmtId="0" fontId="7" fillId="48" borderId="11" xfId="0" applyFont="1" applyFill="1" applyBorder="1" applyAlignment="1">
      <alignment vertical="top"/>
    </xf>
    <xf numFmtId="0" fontId="0" fillId="46" borderId="11" xfId="0" applyFont="1" applyFill="1" applyBorder="1" applyAlignment="1">
      <alignment horizontal="left" wrapText="1" indent="1"/>
    </xf>
    <xf numFmtId="2" fontId="9" fillId="42" borderId="15" xfId="0" applyNumberFormat="1" applyFont="1" applyFill="1" applyBorder="1" applyAlignment="1">
      <alignment vertical="top"/>
    </xf>
    <xf numFmtId="2" fontId="1" fillId="33" borderId="15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 indent="3"/>
    </xf>
    <xf numFmtId="2" fontId="7" fillId="33" borderId="15" xfId="55" applyNumberFormat="1" applyFont="1" applyFill="1" applyBorder="1" applyAlignment="1" applyProtection="1">
      <alignment vertical="top"/>
      <protection/>
    </xf>
    <xf numFmtId="10" fontId="0" fillId="33" borderId="15" xfId="55" applyNumberFormat="1" applyFill="1" applyBorder="1" applyAlignment="1" applyProtection="1">
      <alignment vertical="top"/>
      <protection/>
    </xf>
    <xf numFmtId="10" fontId="0" fillId="42" borderId="15" xfId="55" applyNumberFormat="1" applyFill="1" applyBorder="1" applyAlignment="1">
      <alignment vertical="top"/>
    </xf>
    <xf numFmtId="0" fontId="0" fillId="33" borderId="15" xfId="0" applyFill="1" applyBorder="1" applyAlignment="1">
      <alignment horizontal="left" vertical="top" wrapText="1" indent="3"/>
    </xf>
    <xf numFmtId="0" fontId="0" fillId="33" borderId="15" xfId="0" applyFont="1" applyFill="1" applyBorder="1" applyAlignment="1">
      <alignment horizontal="left" vertical="top" wrapText="1" indent="3"/>
    </xf>
    <xf numFmtId="0" fontId="0" fillId="33" borderId="15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0" fontId="11" fillId="33" borderId="15" xfId="0" applyFont="1" applyFill="1" applyBorder="1" applyAlignment="1">
      <alignment horizontal="left" vertical="top" wrapText="1" indent="2"/>
    </xf>
    <xf numFmtId="0" fontId="4" fillId="46" borderId="15" xfId="0" applyFont="1" applyFill="1" applyBorder="1" applyAlignment="1">
      <alignment horizontal="left" vertical="top" wrapText="1" indent="3"/>
    </xf>
    <xf numFmtId="9" fontId="7" fillId="46" borderId="15" xfId="55" applyFont="1" applyFill="1" applyBorder="1" applyAlignment="1" applyProtection="1">
      <alignment vertical="top"/>
      <protection/>
    </xf>
    <xf numFmtId="10" fontId="0" fillId="46" borderId="15" xfId="55" applyNumberFormat="1" applyFill="1" applyBorder="1" applyAlignment="1" applyProtection="1">
      <alignment vertical="top"/>
      <protection/>
    </xf>
    <xf numFmtId="10" fontId="0" fillId="48" borderId="15" xfId="55" applyNumberFormat="1" applyFill="1" applyBorder="1" applyAlignment="1">
      <alignment vertical="top"/>
    </xf>
    <xf numFmtId="2" fontId="7" fillId="46" borderId="15" xfId="55" applyNumberFormat="1" applyFont="1" applyFill="1" applyBorder="1" applyAlignment="1" applyProtection="1">
      <alignment vertical="top"/>
      <protection/>
    </xf>
    <xf numFmtId="0" fontId="0" fillId="46" borderId="0" xfId="0" applyFill="1" applyBorder="1" applyAlignment="1">
      <alignment horizontal="left" vertical="top" wrapText="1" indent="1"/>
    </xf>
    <xf numFmtId="9" fontId="0" fillId="46" borderId="15" xfId="55" applyFill="1" applyBorder="1" applyAlignment="1">
      <alignment vertical="top"/>
    </xf>
    <xf numFmtId="10" fontId="0" fillId="46" borderId="15" xfId="55" applyNumberFormat="1" applyFill="1" applyBorder="1" applyAlignment="1">
      <alignment vertical="top"/>
    </xf>
    <xf numFmtId="0" fontId="0" fillId="46" borderId="15" xfId="0" applyFont="1" applyFill="1" applyBorder="1" applyAlignment="1">
      <alignment horizontal="left" vertical="top" wrapText="1" indent="1"/>
    </xf>
    <xf numFmtId="0" fontId="7" fillId="49" borderId="15" xfId="0" applyFont="1" applyFill="1" applyBorder="1" applyAlignment="1">
      <alignment vertical="top"/>
    </xf>
    <xf numFmtId="0" fontId="7" fillId="50" borderId="15" xfId="0" applyFont="1" applyFill="1" applyBorder="1" applyAlignment="1">
      <alignment vertical="top"/>
    </xf>
    <xf numFmtId="0" fontId="0" fillId="49" borderId="0" xfId="0" applyFill="1" applyBorder="1" applyAlignment="1">
      <alignment vertical="top"/>
    </xf>
    <xf numFmtId="0" fontId="0" fillId="49" borderId="15" xfId="0" applyFill="1" applyBorder="1" applyAlignment="1">
      <alignment horizontal="left" vertical="top"/>
    </xf>
    <xf numFmtId="0" fontId="4" fillId="46" borderId="15" xfId="0" applyFont="1" applyFill="1" applyBorder="1" applyAlignment="1">
      <alignment horizontal="left" vertical="top" wrapText="1" indent="5"/>
    </xf>
    <xf numFmtId="2" fontId="9" fillId="46" borderId="15" xfId="0" applyNumberFormat="1" applyFont="1" applyFill="1" applyBorder="1" applyAlignment="1">
      <alignment vertical="top"/>
    </xf>
    <xf numFmtId="2" fontId="9" fillId="48" borderId="15" xfId="0" applyNumberFormat="1" applyFont="1" applyFill="1" applyBorder="1" applyAlignment="1">
      <alignment vertical="top"/>
    </xf>
    <xf numFmtId="0" fontId="0" fillId="46" borderId="15" xfId="0" applyFill="1" applyBorder="1" applyAlignment="1">
      <alignment vertical="top"/>
    </xf>
    <xf numFmtId="0" fontId="3" fillId="47" borderId="11" xfId="0" applyFont="1" applyFill="1" applyBorder="1" applyAlignment="1">
      <alignment horizontal="left" vertical="top" wrapText="1" indent="1"/>
    </xf>
    <xf numFmtId="10" fontId="3" fillId="47" borderId="11" xfId="55" applyNumberFormat="1" applyFont="1" applyFill="1" applyBorder="1" applyAlignment="1">
      <alignment vertical="top"/>
    </xf>
    <xf numFmtId="3" fontId="9" fillId="46" borderId="15" xfId="0" applyNumberFormat="1" applyFont="1" applyFill="1" applyBorder="1" applyAlignment="1">
      <alignment vertical="top"/>
    </xf>
    <xf numFmtId="3" fontId="9" fillId="48" borderId="15" xfId="0" applyNumberFormat="1" applyFont="1" applyFill="1" applyBorder="1" applyAlignment="1">
      <alignment vertical="top"/>
    </xf>
    <xf numFmtId="4" fontId="9" fillId="48" borderId="15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indent="2"/>
    </xf>
    <xf numFmtId="0" fontId="0" fillId="46" borderId="15" xfId="0" applyFill="1" applyBorder="1" applyAlignment="1">
      <alignment horizontal="left" vertical="top" wrapText="1" indent="3"/>
    </xf>
    <xf numFmtId="0" fontId="4" fillId="46" borderId="15" xfId="0" applyFont="1" applyFill="1" applyBorder="1" applyAlignment="1">
      <alignment horizontal="left" vertical="top" indent="2"/>
    </xf>
    <xf numFmtId="0" fontId="7" fillId="46" borderId="15" xfId="0" applyFont="1" applyFill="1" applyBorder="1" applyAlignment="1">
      <alignment vertical="top"/>
    </xf>
    <xf numFmtId="2" fontId="7" fillId="46" borderId="15" xfId="0" applyNumberFormat="1" applyFont="1" applyFill="1" applyBorder="1" applyAlignment="1">
      <alignment vertical="top"/>
    </xf>
    <xf numFmtId="2" fontId="0" fillId="46" borderId="15" xfId="55" applyNumberFormat="1" applyFill="1" applyBorder="1" applyAlignment="1">
      <alignment vertical="top"/>
    </xf>
    <xf numFmtId="4" fontId="1" fillId="46" borderId="15" xfId="0" applyNumberFormat="1" applyFont="1" applyFill="1" applyBorder="1" applyAlignment="1">
      <alignment vertical="top"/>
    </xf>
    <xf numFmtId="0" fontId="11" fillId="46" borderId="15" xfId="0" applyFont="1" applyFill="1" applyBorder="1" applyAlignment="1">
      <alignment horizontal="left" vertical="top" wrapText="1" indent="2"/>
    </xf>
    <xf numFmtId="0" fontId="4" fillId="46" borderId="15" xfId="0" applyFont="1" applyFill="1" applyBorder="1" applyAlignment="1">
      <alignment horizontal="left" wrapText="1" indent="2"/>
    </xf>
    <xf numFmtId="4" fontId="9" fillId="46" borderId="15" xfId="0" applyNumberFormat="1" applyFont="1" applyFill="1" applyBorder="1" applyAlignment="1">
      <alignment vertical="top"/>
    </xf>
    <xf numFmtId="0" fontId="0" fillId="49" borderId="15" xfId="0" applyFill="1" applyBorder="1" applyAlignment="1">
      <alignment horizontal="left" vertical="top" wrapText="1"/>
    </xf>
    <xf numFmtId="0" fontId="0" fillId="46" borderId="0" xfId="0" applyFill="1" applyAlignment="1">
      <alignment horizontal="left" vertical="top" wrapText="1" indent="1"/>
    </xf>
    <xf numFmtId="3" fontId="9" fillId="46" borderId="0" xfId="0" applyNumberFormat="1" applyFont="1" applyFill="1" applyBorder="1" applyAlignment="1">
      <alignment vertical="top"/>
    </xf>
    <xf numFmtId="4" fontId="9" fillId="48" borderId="0" xfId="0" applyNumberFormat="1" applyFont="1" applyFill="1" applyBorder="1" applyAlignment="1">
      <alignment vertical="top"/>
    </xf>
    <xf numFmtId="0" fontId="0" fillId="46" borderId="0" xfId="0" applyFill="1" applyAlignment="1">
      <alignment vertical="top"/>
    </xf>
    <xf numFmtId="0" fontId="0" fillId="33" borderId="0" xfId="0" applyFill="1" applyAlignment="1">
      <alignment horizontal="left" vertical="top" indent="2"/>
    </xf>
    <xf numFmtId="0" fontId="0" fillId="46" borderId="15" xfId="0" applyFill="1" applyBorder="1" applyAlignment="1">
      <alignment horizontal="left" vertical="top" indent="2"/>
    </xf>
    <xf numFmtId="4" fontId="7" fillId="46" borderId="15" xfId="0" applyNumberFormat="1" applyFont="1" applyFill="1" applyBorder="1" applyAlignment="1">
      <alignment vertical="top"/>
    </xf>
    <xf numFmtId="0" fontId="4" fillId="46" borderId="0" xfId="0" applyFont="1" applyFill="1" applyAlignment="1">
      <alignment horizontal="left" vertical="top" wrapText="1" indent="4"/>
    </xf>
    <xf numFmtId="164" fontId="7" fillId="46" borderId="0" xfId="0" applyNumberFormat="1" applyFont="1" applyFill="1" applyBorder="1" applyAlignment="1">
      <alignment vertical="top"/>
    </xf>
    <xf numFmtId="4" fontId="1" fillId="46" borderId="0" xfId="0" applyNumberFormat="1" applyFont="1" applyFill="1" applyBorder="1" applyAlignment="1">
      <alignment vertical="top"/>
    </xf>
    <xf numFmtId="2" fontId="0" fillId="46" borderId="15" xfId="55" applyNumberFormat="1" applyFill="1" applyBorder="1" applyAlignment="1" applyProtection="1">
      <alignment vertical="top"/>
      <protection/>
    </xf>
    <xf numFmtId="2" fontId="0" fillId="48" borderId="15" xfId="55" applyNumberFormat="1" applyFill="1" applyBorder="1" applyAlignment="1">
      <alignment vertical="top"/>
    </xf>
    <xf numFmtId="0" fontId="4" fillId="46" borderId="0" xfId="0" applyFont="1" applyFill="1" applyAlignment="1">
      <alignment horizontal="left" vertical="top" wrapText="1" indent="5"/>
    </xf>
    <xf numFmtId="0" fontId="4" fillId="49" borderId="0" xfId="0" applyFont="1" applyFill="1" applyAlignment="1">
      <alignment horizontal="left" vertical="top" wrapText="1" indent="5"/>
    </xf>
    <xf numFmtId="3" fontId="9" fillId="49" borderId="0" xfId="0" applyNumberFormat="1" applyFont="1" applyFill="1" applyBorder="1" applyAlignment="1">
      <alignment vertical="top"/>
    </xf>
    <xf numFmtId="4" fontId="9" fillId="51" borderId="0" xfId="0" applyNumberFormat="1" applyFont="1" applyFill="1" applyBorder="1" applyAlignment="1">
      <alignment vertical="top"/>
    </xf>
    <xf numFmtId="0" fontId="0" fillId="49" borderId="0" xfId="0" applyFill="1" applyAlignment="1">
      <alignment vertical="top"/>
    </xf>
    <xf numFmtId="0" fontId="0" fillId="46" borderId="0" xfId="0" applyFill="1" applyAlignment="1">
      <alignment horizontal="left" vertical="top" wrapText="1" indent="3"/>
    </xf>
    <xf numFmtId="0" fontId="7" fillId="46" borderId="0" xfId="0" applyFont="1" applyFill="1" applyBorder="1" applyAlignment="1">
      <alignment vertical="top"/>
    </xf>
    <xf numFmtId="4" fontId="9" fillId="46" borderId="0" xfId="0" applyNumberFormat="1" applyFont="1" applyFill="1" applyBorder="1" applyAlignment="1">
      <alignment vertical="top"/>
    </xf>
    <xf numFmtId="0" fontId="4" fillId="46" borderId="11" xfId="0" applyFont="1" applyFill="1" applyBorder="1" applyAlignment="1">
      <alignment horizontal="left" wrapText="1" indent="2"/>
    </xf>
    <xf numFmtId="4" fontId="9" fillId="33" borderId="11" xfId="0" applyNumberFormat="1" applyFont="1" applyFill="1" applyBorder="1" applyAlignment="1">
      <alignment vertical="top"/>
    </xf>
    <xf numFmtId="4" fontId="0" fillId="46" borderId="11" xfId="0" applyNumberFormat="1" applyFill="1" applyBorder="1" applyAlignment="1">
      <alignment/>
    </xf>
    <xf numFmtId="4" fontId="0" fillId="46" borderId="20" xfId="0" applyNumberFormat="1" applyFill="1" applyBorder="1" applyAlignment="1">
      <alignment/>
    </xf>
    <xf numFmtId="0" fontId="0" fillId="46" borderId="0" xfId="0" applyFill="1" applyAlignment="1">
      <alignment/>
    </xf>
    <xf numFmtId="0" fontId="11" fillId="49" borderId="11" xfId="0" applyFont="1" applyFill="1" applyBorder="1" applyAlignment="1">
      <alignment horizontal="left" vertical="top" wrapText="1" indent="2"/>
    </xf>
    <xf numFmtId="0" fontId="7" fillId="52" borderId="11" xfId="0" applyFont="1" applyFill="1" applyBorder="1" applyAlignment="1">
      <alignment vertical="top"/>
    </xf>
    <xf numFmtId="0" fontId="3" fillId="38" borderId="0" xfId="0" applyFont="1" applyFill="1" applyBorder="1" applyAlignment="1">
      <alignment vertical="top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midova\Downloads\&#1074;&#1099;&#1095;&#1080;&#1089;&#1083;&#1080;&#1090;&#1077;&#1083;&#1100;&#1085;&#1072;&#1103;%20&#1087;&#1088;&#1086;&#1075;&#1088;&#1072;&#1084;&#1084;&#1072;%20&#1087;&#1086;%20&#1088;&#1072;&#1089;&#1095;&#1077;&#1090;&#1091;%20&#1044;&#1042;&#1042;%20&#1074;%20&#1074;&#1086;&#107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условия"/>
      <sheetName val="конкурсная документация"/>
      <sheetName val="конкурсные предложения"/>
      <sheetName val="расчет индексация"/>
      <sheetName val="расчет RAB"/>
      <sheetName val="результат расчета"/>
    </sheetNames>
    <sheetDataSet>
      <sheetData sheetId="3">
        <row r="7">
          <cell r="B7">
            <v>1</v>
          </cell>
          <cell r="C7">
            <v>1.07</v>
          </cell>
          <cell r="D7">
            <v>1.1449</v>
          </cell>
          <cell r="E7">
            <v>1.225043</v>
          </cell>
          <cell r="F7">
            <v>1.3107960100000002</v>
          </cell>
          <cell r="G7">
            <v>1.4025517307000004</v>
          </cell>
          <cell r="H7">
            <v>1.5007303518490005</v>
          </cell>
          <cell r="I7">
            <v>1.6057814764784306</v>
          </cell>
          <cell r="J7">
            <v>1.718186179831921</v>
          </cell>
          <cell r="K7">
            <v>1.8384592124201555</v>
          </cell>
          <cell r="L7">
            <v>1.9671513572895665</v>
          </cell>
          <cell r="M7">
            <v>2.1048519522998363</v>
          </cell>
          <cell r="N7">
            <v>2.252191588960825</v>
          </cell>
          <cell r="O7">
            <v>2.4098450001880827</v>
          </cell>
          <cell r="P7">
            <v>2.5785341502012487</v>
          </cell>
          <cell r="Q7">
            <v>2.7590315407153363</v>
          </cell>
          <cell r="R7">
            <v>2.95216374856541</v>
          </cell>
          <cell r="S7">
            <v>3.158815210964989</v>
          </cell>
          <cell r="T7">
            <v>3.3799322757325387</v>
          </cell>
          <cell r="U7">
            <v>3.616527535033817</v>
          </cell>
          <cell r="V7">
            <v>3.8696844624861844</v>
          </cell>
          <cell r="W7">
            <v>4.140562374860218</v>
          </cell>
          <cell r="X7">
            <v>4.430401741100433</v>
          </cell>
          <cell r="Y7">
            <v>4.740529862977464</v>
          </cell>
          <cell r="Z7">
            <v>5.072366953385887</v>
          </cell>
          <cell r="AA7">
            <v>5.4274326401229</v>
          </cell>
          <cell r="AB7">
            <v>5.807352924931504</v>
          </cell>
          <cell r="AC7">
            <v>6.2138676296767095</v>
          </cell>
          <cell r="AD7">
            <v>6.64883836375408</v>
          </cell>
          <cell r="AE7">
            <v>7.1142570492168655</v>
          </cell>
          <cell r="AF7">
            <v>7.6122550426620466</v>
          </cell>
        </row>
        <row r="8">
          <cell r="B8">
            <v>1</v>
          </cell>
          <cell r="C8">
            <v>1.1</v>
          </cell>
          <cell r="D8">
            <v>1.2210000000000003</v>
          </cell>
          <cell r="E8">
            <v>1.2820500000000004</v>
          </cell>
          <cell r="F8">
            <v>1.3717935000000006</v>
          </cell>
          <cell r="G8">
            <v>1.4678190450000006</v>
          </cell>
          <cell r="H8">
            <v>1.5705663781500008</v>
          </cell>
          <cell r="I8">
            <v>1.680506024620501</v>
          </cell>
          <cell r="J8">
            <v>1.7981414463439362</v>
          </cell>
          <cell r="K8">
            <v>1.9240113475880118</v>
          </cell>
          <cell r="L8">
            <v>2.0586921419191726</v>
          </cell>
          <cell r="M8">
            <v>2.202800591853515</v>
          </cell>
          <cell r="N8">
            <v>2.356996633283261</v>
          </cell>
          <cell r="O8">
            <v>2.5219863976130896</v>
          </cell>
          <cell r="P8">
            <v>2.698525445446006</v>
          </cell>
          <cell r="Q8">
            <v>2.8874222266272267</v>
          </cell>
          <cell r="R8">
            <v>3.089541782491133</v>
          </cell>
          <cell r="S8">
            <v>3.3058097072655124</v>
          </cell>
          <cell r="T8">
            <v>3.5372163867740984</v>
          </cell>
          <cell r="U8">
            <v>3.7848215338482856</v>
          </cell>
          <cell r="V8">
            <v>4.049759041217666</v>
          </cell>
          <cell r="W8">
            <v>4.333242174102902</v>
          </cell>
          <cell r="X8">
            <v>4.636569126290105</v>
          </cell>
          <cell r="Y8">
            <v>4.9611289651304125</v>
          </cell>
          <cell r="Z8">
            <v>5.308407992689542</v>
          </cell>
          <cell r="AA8">
            <v>5.67999655217781</v>
          </cell>
          <cell r="AB8">
            <v>6.077596310830257</v>
          </cell>
          <cell r="AC8">
            <v>6.503028052588376</v>
          </cell>
          <cell r="AD8">
            <v>6.958240016269563</v>
          </cell>
          <cell r="AE8">
            <v>7.4453168174084325</v>
          </cell>
          <cell r="AF8">
            <v>7.966488994627023</v>
          </cell>
        </row>
        <row r="9">
          <cell r="B9">
            <v>1</v>
          </cell>
          <cell r="C9">
            <v>1.1</v>
          </cell>
          <cell r="D9">
            <v>1.2100000000000002</v>
          </cell>
          <cell r="E9">
            <v>1.2947000000000002</v>
          </cell>
          <cell r="F9">
            <v>1.3723820000000002</v>
          </cell>
          <cell r="G9">
            <v>1.4547249200000003</v>
          </cell>
          <cell r="H9">
            <v>1.5420084152000004</v>
          </cell>
          <cell r="I9">
            <v>1.6345289201120006</v>
          </cell>
          <cell r="J9">
            <v>1.7326006553187208</v>
          </cell>
          <cell r="K9">
            <v>1.836556694637844</v>
          </cell>
          <cell r="L9">
            <v>1.9467500963161146</v>
          </cell>
          <cell r="M9">
            <v>2.0635551020950818</v>
          </cell>
          <cell r="N9">
            <v>2.1873684082207867</v>
          </cell>
          <cell r="O9">
            <v>2.318610512714034</v>
          </cell>
          <cell r="P9">
            <v>2.457727143476876</v>
          </cell>
          <cell r="Q9">
            <v>2.6051907720854888</v>
          </cell>
          <cell r="R9">
            <v>2.761502218410618</v>
          </cell>
          <cell r="S9">
            <v>2.9271923515152554</v>
          </cell>
          <cell r="T9">
            <v>3.1028238926061706</v>
          </cell>
          <cell r="U9">
            <v>3.288993326162541</v>
          </cell>
          <cell r="V9">
            <v>3.4863329257322935</v>
          </cell>
          <cell r="W9">
            <v>3.6955129012762313</v>
          </cell>
          <cell r="X9">
            <v>3.9172436753528053</v>
          </cell>
          <cell r="Y9">
            <v>4.152278295873974</v>
          </cell>
          <cell r="Z9">
            <v>4.401414993626413</v>
          </cell>
          <cell r="AA9">
            <v>4.665499893243998</v>
          </cell>
          <cell r="AB9">
            <v>4.945429886838639</v>
          </cell>
          <cell r="AC9">
            <v>5.242155680048957</v>
          </cell>
          <cell r="AD9">
            <v>5.556685020851894</v>
          </cell>
          <cell r="AE9">
            <v>5.890086122103008</v>
          </cell>
          <cell r="AF9">
            <v>6.243491289429189</v>
          </cell>
        </row>
        <row r="10">
          <cell r="B10">
            <v>1</v>
          </cell>
          <cell r="C10">
            <v>1.0972</v>
          </cell>
          <cell r="D10">
            <v>1.190462</v>
          </cell>
          <cell r="E10">
            <v>1.280937112</v>
          </cell>
          <cell r="F10">
            <v>1.35138865316</v>
          </cell>
          <cell r="G10">
            <v>1.4392289156154</v>
          </cell>
          <cell r="H10">
            <v>1.5327787951304008</v>
          </cell>
          <cell r="I10">
            <v>1.6324094168138767</v>
          </cell>
          <cell r="J10">
            <v>1.7385160289067787</v>
          </cell>
          <cell r="K10">
            <v>1.8515195707857193</v>
          </cell>
          <cell r="L10">
            <v>1.971868342886791</v>
          </cell>
          <cell r="M10">
            <v>2.1000397851744323</v>
          </cell>
          <cell r="N10">
            <v>2.23654237121077</v>
          </cell>
          <cell r="O10">
            <v>2.38191762533947</v>
          </cell>
          <cell r="P10">
            <v>2.5367422709865353</v>
          </cell>
          <cell r="Q10">
            <v>2.70163051860066</v>
          </cell>
          <cell r="R10">
            <v>2.8772365023097026</v>
          </cell>
          <cell r="S10">
            <v>3.0642568749598333</v>
          </cell>
          <cell r="T10">
            <v>3.2634335718322225</v>
          </cell>
          <cell r="U10">
            <v>3.4755567540013166</v>
          </cell>
          <cell r="V10">
            <v>3.701467943011402</v>
          </cell>
          <cell r="W10">
            <v>3.942063359307143</v>
          </cell>
          <cell r="X10">
            <v>4.1982974776621065</v>
          </cell>
          <cell r="Y10">
            <v>4.471186813710143</v>
          </cell>
          <cell r="Z10">
            <v>4.761813956601302</v>
          </cell>
          <cell r="AA10">
            <v>5.071331863780387</v>
          </cell>
          <cell r="AB10">
            <v>5.400968434926112</v>
          </cell>
          <cell r="AC10">
            <v>5.752031383196309</v>
          </cell>
          <cell r="AD10">
            <v>6.125913423104069</v>
          </cell>
          <cell r="AE10">
            <v>6.524097795605833</v>
          </cell>
          <cell r="AF10">
            <v>6.948164152320212</v>
          </cell>
        </row>
        <row r="11">
          <cell r="B11">
            <v>1</v>
          </cell>
          <cell r="C11">
            <v>1.01</v>
          </cell>
          <cell r="D11">
            <v>1.0908</v>
          </cell>
          <cell r="E11">
            <v>1.178064</v>
          </cell>
          <cell r="F11">
            <v>1.26052848</v>
          </cell>
          <cell r="G11">
            <v>1.3361601888</v>
          </cell>
          <cell r="H11">
            <v>1.4163298001280002</v>
          </cell>
          <cell r="I11">
            <v>1.5013095881356804</v>
          </cell>
          <cell r="J11">
            <v>1.5913881634238214</v>
          </cell>
          <cell r="K11">
            <v>1.6868714532292508</v>
          </cell>
          <cell r="L11">
            <v>1.7880837404230059</v>
          </cell>
          <cell r="M11">
            <v>1.8953687648483863</v>
          </cell>
          <cell r="N11">
            <v>2.0090908907392895</v>
          </cell>
          <cell r="O11">
            <v>2.129636344183647</v>
          </cell>
          <cell r="P11">
            <v>2.2574145248346658</v>
          </cell>
          <cell r="Q11">
            <v>2.392859396324746</v>
          </cell>
          <cell r="R11">
            <v>2.536430960104231</v>
          </cell>
          <cell r="S11">
            <v>2.6886168177104848</v>
          </cell>
          <cell r="T11">
            <v>2.849933826773114</v>
          </cell>
          <cell r="U11">
            <v>3.020929856379501</v>
          </cell>
          <cell r="V11">
            <v>3.202185647762271</v>
          </cell>
          <cell r="W11">
            <v>3.3943167866280075</v>
          </cell>
          <cell r="X11">
            <v>3.597975793825688</v>
          </cell>
          <cell r="Y11">
            <v>3.8138543414552295</v>
          </cell>
          <cell r="Z11">
            <v>4.0426856019425434</v>
          </cell>
          <cell r="AA11">
            <v>4.285246738059096</v>
          </cell>
          <cell r="AB11">
            <v>4.5423615423426424</v>
          </cell>
          <cell r="AC11">
            <v>4.814903234883201</v>
          </cell>
          <cell r="AD11">
            <v>5.103797428976193</v>
          </cell>
          <cell r="AE11">
            <v>5.410025274714766</v>
          </cell>
          <cell r="AF11">
            <v>5.734626791197652</v>
          </cell>
        </row>
        <row r="12">
          <cell r="B12">
            <v>1</v>
          </cell>
          <cell r="C12">
            <v>1.1</v>
          </cell>
          <cell r="D12">
            <v>1.2100000000000002</v>
          </cell>
          <cell r="E12">
            <v>1.2826000000000002</v>
          </cell>
          <cell r="F12">
            <v>1.3723820000000002</v>
          </cell>
          <cell r="G12">
            <v>1.4684487400000004</v>
          </cell>
          <cell r="H12">
            <v>1.5712401518000005</v>
          </cell>
          <cell r="I12">
            <v>1.6812269624260008</v>
          </cell>
          <cell r="J12">
            <v>1.798912849795821</v>
          </cell>
          <cell r="K12">
            <v>1.9248367492815284</v>
          </cell>
          <cell r="L12">
            <v>2.0595753217312356</v>
          </cell>
          <cell r="M12">
            <v>2.203745594252422</v>
          </cell>
          <cell r="N12">
            <v>2.358007785850092</v>
          </cell>
          <cell r="O12">
            <v>2.5230683308595983</v>
          </cell>
          <cell r="P12">
            <v>2.6996831140197703</v>
          </cell>
          <cell r="Q12">
            <v>2.8886609320011543</v>
          </cell>
          <cell r="R12">
            <v>3.090867197241235</v>
          </cell>
          <cell r="S12">
            <v>3.3072279010481216</v>
          </cell>
          <cell r="T12">
            <v>3.53873385412149</v>
          </cell>
          <cell r="U12">
            <v>3.7864452239099946</v>
          </cell>
          <cell r="V12">
            <v>4.051496389583694</v>
          </cell>
          <cell r="W12">
            <v>4.335101136854553</v>
          </cell>
          <cell r="X12">
            <v>4.638558216434372</v>
          </cell>
          <cell r="Y12">
            <v>4.963257291584779</v>
          </cell>
          <cell r="Z12">
            <v>5.310685301995714</v>
          </cell>
          <cell r="AA12">
            <v>5.682433273135414</v>
          </cell>
          <cell r="AB12">
            <v>6.080203602254894</v>
          </cell>
          <cell r="AC12">
            <v>6.5058178544127365</v>
          </cell>
          <cell r="AD12">
            <v>6.961225104221628</v>
          </cell>
          <cell r="AE12">
            <v>7.448510861517143</v>
          </cell>
          <cell r="AF12">
            <v>7.969906621823343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SheetLayoutView="100" workbookViewId="0" topLeftCell="A3">
      <selection activeCell="I29" sqref="I29"/>
    </sheetView>
  </sheetViews>
  <sheetFormatPr defaultColWidth="9.140625" defaultRowHeight="15"/>
  <cols>
    <col min="1" max="5" width="9.140625" style="57" customWidth="1"/>
    <col min="6" max="6" width="12.8515625" style="57" customWidth="1"/>
    <col min="7" max="16384" width="9.140625" style="57" customWidth="1"/>
  </cols>
  <sheetData>
    <row r="2" spans="3:7" ht="15">
      <c r="C2" s="320" t="s">
        <v>71</v>
      </c>
      <c r="D2" s="320"/>
      <c r="E2" s="320"/>
      <c r="F2" s="320"/>
      <c r="G2" s="320"/>
    </row>
    <row r="3" spans="3:7" ht="15">
      <c r="C3" s="319" t="s">
        <v>142</v>
      </c>
      <c r="D3" s="319"/>
      <c r="E3" s="319"/>
      <c r="F3" s="319"/>
      <c r="G3" s="319"/>
    </row>
    <row r="5" spans="1:2" ht="15">
      <c r="A5" s="59">
        <v>1</v>
      </c>
      <c r="B5" s="58" t="s">
        <v>72</v>
      </c>
    </row>
    <row r="6" spans="2:10" ht="31.5" customHeight="1">
      <c r="B6" s="321" t="s">
        <v>127</v>
      </c>
      <c r="C6" s="321"/>
      <c r="D6" s="321"/>
      <c r="E6" s="321"/>
      <c r="F6" s="321"/>
      <c r="G6" s="321"/>
      <c r="H6" s="60"/>
      <c r="J6" s="70">
        <v>1</v>
      </c>
    </row>
    <row r="8" spans="1:10" ht="15">
      <c r="A8" s="59">
        <v>2</v>
      </c>
      <c r="B8" s="58" t="s">
        <v>73</v>
      </c>
      <c r="J8" s="70">
        <v>1</v>
      </c>
    </row>
    <row r="9" ht="15"/>
    <row r="10" ht="15" hidden="1">
      <c r="C10" s="57" t="s">
        <v>67</v>
      </c>
    </row>
    <row r="11" ht="15" hidden="1">
      <c r="C11" s="57" t="s">
        <v>68</v>
      </c>
    </row>
    <row r="13" spans="1:10" ht="15">
      <c r="A13" s="59">
        <v>3</v>
      </c>
      <c r="B13" s="58" t="s">
        <v>74</v>
      </c>
      <c r="J13" s="70">
        <v>1</v>
      </c>
    </row>
    <row r="14" ht="15"/>
    <row r="15" ht="15" hidden="1">
      <c r="C15" s="57" t="s">
        <v>69</v>
      </c>
    </row>
    <row r="16" ht="15" hidden="1">
      <c r="C16" s="57" t="s">
        <v>70</v>
      </c>
    </row>
    <row r="17" spans="1:5" ht="15">
      <c r="A17" s="59">
        <v>4</v>
      </c>
      <c r="B17" s="58" t="s">
        <v>75</v>
      </c>
      <c r="E17" s="77">
        <v>15</v>
      </c>
    </row>
    <row r="18" spans="1:2" ht="15">
      <c r="A18" s="59"/>
      <c r="B18" s="58"/>
    </row>
    <row r="20" spans="1:9" ht="15" customHeight="1">
      <c r="A20" s="318" t="s">
        <v>104</v>
      </c>
      <c r="B20" s="318"/>
      <c r="C20" s="318"/>
      <c r="D20" s="318"/>
      <c r="E20" s="318"/>
      <c r="F20" s="318"/>
      <c r="G20" s="318"/>
      <c r="H20" s="318"/>
      <c r="I20" s="318"/>
    </row>
    <row r="21" spans="1:9" ht="15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5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5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5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5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5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54" customHeight="1">
      <c r="A27" s="318" t="s">
        <v>105</v>
      </c>
      <c r="B27" s="318"/>
      <c r="C27" s="318"/>
      <c r="D27" s="318"/>
      <c r="E27" s="318"/>
      <c r="F27" s="318"/>
      <c r="G27" s="318"/>
      <c r="H27" s="318"/>
      <c r="I27" s="318"/>
    </row>
    <row r="28" spans="1:9" ht="15">
      <c r="A28" s="99"/>
      <c r="B28" s="99"/>
      <c r="C28" s="99"/>
      <c r="D28" s="99"/>
      <c r="E28" s="99"/>
      <c r="F28" s="99"/>
      <c r="G28" s="99"/>
      <c r="H28" s="99"/>
      <c r="I28" s="99"/>
    </row>
    <row r="29" spans="1:9" ht="15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5">
      <c r="A30" s="99"/>
      <c r="B30" s="99"/>
      <c r="C30" s="99"/>
      <c r="D30" s="99"/>
      <c r="E30" s="99"/>
      <c r="F30" s="99"/>
      <c r="G30" s="99"/>
      <c r="H30" s="99"/>
      <c r="I30" s="99"/>
    </row>
    <row r="31" spans="1:9" ht="15">
      <c r="A31" s="99"/>
      <c r="B31" s="99"/>
      <c r="C31" s="99"/>
      <c r="D31" s="99"/>
      <c r="E31" s="99"/>
      <c r="F31" s="99"/>
      <c r="G31" s="99"/>
      <c r="H31" s="99"/>
      <c r="I31" s="99"/>
    </row>
    <row r="32" spans="1:9" ht="15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5">
      <c r="A33" s="99"/>
      <c r="B33" s="99"/>
      <c r="C33" s="99"/>
      <c r="D33" s="99"/>
      <c r="E33" s="99"/>
      <c r="F33" s="99"/>
      <c r="G33" s="99"/>
      <c r="H33" s="99"/>
      <c r="I33" s="99"/>
    </row>
  </sheetData>
  <sheetProtection/>
  <mergeCells count="5">
    <mergeCell ref="A20:I25"/>
    <mergeCell ref="A27:I27"/>
    <mergeCell ref="C3:G3"/>
    <mergeCell ref="C2:G2"/>
    <mergeCell ref="B6:G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C67"/>
  <sheetViews>
    <sheetView view="pageBreakPreview" zoomScaleNormal="85" zoomScaleSheetLayoutView="100" workbookViewId="0" topLeftCell="A3">
      <pane xSplit="2" ySplit="4" topLeftCell="C13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25" sqref="C25"/>
    </sheetView>
  </sheetViews>
  <sheetFormatPr defaultColWidth="9.140625" defaultRowHeight="15"/>
  <cols>
    <col min="1" max="1" width="42.8515625" style="24" customWidth="1"/>
    <col min="2" max="2" width="9.8515625" style="42" customWidth="1"/>
    <col min="3" max="3" width="9.8515625" style="56" customWidth="1"/>
    <col min="4" max="4" width="9.8515625" style="42" customWidth="1"/>
    <col min="5" max="5" width="9.8515625" style="55" customWidth="1"/>
    <col min="6" max="6" width="9.8515625" style="56" customWidth="1"/>
    <col min="7" max="10" width="9.8515625" style="42" customWidth="1"/>
    <col min="11" max="11" width="9.8515625" style="56" customWidth="1"/>
    <col min="12" max="15" width="9.8515625" style="42" customWidth="1"/>
    <col min="16" max="16" width="9.8515625" style="56" customWidth="1"/>
    <col min="17" max="20" width="9.8515625" style="42" customWidth="1"/>
    <col min="21" max="21" width="9.8515625" style="56" customWidth="1"/>
    <col min="22" max="22" width="9.8515625" style="42" customWidth="1"/>
    <col min="23" max="23" width="6.7109375" style="23" customWidth="1"/>
    <col min="24" max="25" width="9.140625" style="24" customWidth="1"/>
    <col min="26" max="26" width="9.140625" style="63" customWidth="1"/>
    <col min="27" max="30" width="9.140625" style="24" customWidth="1"/>
    <col min="31" max="31" width="9.140625" style="63" customWidth="1"/>
    <col min="32" max="16384" width="9.140625" style="24" customWidth="1"/>
  </cols>
  <sheetData>
    <row r="1" spans="1:22" ht="30" hidden="1">
      <c r="A1" s="66" t="s">
        <v>64</v>
      </c>
      <c r="B1" s="34">
        <v>0</v>
      </c>
      <c r="C1" s="52"/>
      <c r="D1" s="23"/>
      <c r="E1" s="50"/>
      <c r="F1" s="52"/>
      <c r="G1" s="23"/>
      <c r="H1" s="23"/>
      <c r="I1" s="23"/>
      <c r="J1" s="23"/>
      <c r="K1" s="52"/>
      <c r="L1" s="23"/>
      <c r="M1" s="23"/>
      <c r="N1" s="23"/>
      <c r="O1" s="23"/>
      <c r="P1" s="52"/>
      <c r="Q1" s="23"/>
      <c r="R1" s="23"/>
      <c r="S1" s="23"/>
      <c r="T1" s="23"/>
      <c r="U1" s="52"/>
      <c r="V1" s="23"/>
    </row>
    <row r="2" spans="1:22" ht="15" hidden="1">
      <c r="A2" s="43"/>
      <c r="B2" s="23"/>
      <c r="C2" s="52"/>
      <c r="D2" s="23"/>
      <c r="E2" s="50"/>
      <c r="F2" s="52"/>
      <c r="G2" s="23"/>
      <c r="H2" s="23"/>
      <c r="I2" s="23"/>
      <c r="J2" s="23"/>
      <c r="K2" s="52"/>
      <c r="L2" s="23"/>
      <c r="M2" s="23"/>
      <c r="N2" s="23"/>
      <c r="O2" s="23"/>
      <c r="P2" s="52"/>
      <c r="Q2" s="23"/>
      <c r="R2" s="23"/>
      <c r="S2" s="23"/>
      <c r="T2" s="23"/>
      <c r="U2" s="52"/>
      <c r="V2" s="23"/>
    </row>
    <row r="3" spans="1:55" ht="15">
      <c r="A3" s="43" t="s">
        <v>50</v>
      </c>
      <c r="B3" s="23"/>
      <c r="C3" s="52"/>
      <c r="D3" s="23"/>
      <c r="E3" s="50"/>
      <c r="F3" s="52"/>
      <c r="G3" s="23"/>
      <c r="H3" s="23"/>
      <c r="I3" s="23"/>
      <c r="J3" s="23"/>
      <c r="K3" s="52"/>
      <c r="L3" s="23"/>
      <c r="M3" s="23"/>
      <c r="N3" s="23"/>
      <c r="O3" s="23"/>
      <c r="P3" s="52"/>
      <c r="Q3" s="23"/>
      <c r="R3" s="23"/>
      <c r="S3" s="23"/>
      <c r="T3" s="23"/>
      <c r="U3" s="52"/>
      <c r="V3" s="23"/>
      <c r="W3" s="46"/>
      <c r="X3" s="46"/>
      <c r="Y3" s="46"/>
      <c r="Z3" s="64"/>
      <c r="AA3" s="46"/>
      <c r="AB3" s="46"/>
      <c r="AC3" s="46"/>
      <c r="AD3" s="46"/>
      <c r="AE3" s="64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2:23" ht="14.25" customHeight="1">
      <c r="B4" s="24"/>
      <c r="C4" s="52"/>
      <c r="D4" s="23"/>
      <c r="E4" s="50"/>
      <c r="F4" s="52"/>
      <c r="G4" s="23"/>
      <c r="H4" s="23"/>
      <c r="I4" s="23"/>
      <c r="J4" s="23"/>
      <c r="K4" s="52"/>
      <c r="L4" s="23"/>
      <c r="M4" s="23"/>
      <c r="N4" s="23"/>
      <c r="O4" s="23"/>
      <c r="P4" s="52"/>
      <c r="Q4" s="23"/>
      <c r="R4" s="23"/>
      <c r="S4" s="23"/>
      <c r="T4" s="23"/>
      <c r="U4" s="52"/>
      <c r="V4" s="23"/>
      <c r="W4" s="46"/>
    </row>
    <row r="5" spans="1:55" ht="15">
      <c r="A5" s="44"/>
      <c r="B5" s="23"/>
      <c r="C5" s="104" t="s">
        <v>27</v>
      </c>
      <c r="D5" s="105"/>
      <c r="E5" s="107"/>
      <c r="F5" s="104" t="s">
        <v>28</v>
      </c>
      <c r="G5" s="105"/>
      <c r="H5" s="105"/>
      <c r="I5" s="105"/>
      <c r="J5" s="107"/>
      <c r="K5" s="108" t="s">
        <v>29</v>
      </c>
      <c r="L5" s="109"/>
      <c r="M5" s="109"/>
      <c r="N5" s="109"/>
      <c r="O5" s="110"/>
      <c r="P5" s="104" t="s">
        <v>30</v>
      </c>
      <c r="Q5" s="105"/>
      <c r="R5" s="105"/>
      <c r="S5" s="105"/>
      <c r="T5" s="107"/>
      <c r="U5" s="104" t="s">
        <v>31</v>
      </c>
      <c r="V5" s="105"/>
      <c r="W5" s="105"/>
      <c r="X5" s="105"/>
      <c r="Y5" s="107"/>
      <c r="Z5" s="104" t="s">
        <v>76</v>
      </c>
      <c r="AA5" s="105"/>
      <c r="AB5" s="105"/>
      <c r="AC5" s="105"/>
      <c r="AD5" s="107"/>
      <c r="AE5" s="111" t="s">
        <v>77</v>
      </c>
      <c r="AF5" s="112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</row>
    <row r="6" spans="1:55" ht="19.5" customHeight="1">
      <c r="A6" s="49" t="s">
        <v>87</v>
      </c>
      <c r="B6" s="37">
        <v>0</v>
      </c>
      <c r="C6" s="118">
        <v>1</v>
      </c>
      <c r="D6" s="118">
        <v>2</v>
      </c>
      <c r="E6" s="118">
        <v>3</v>
      </c>
      <c r="F6" s="119">
        <v>4</v>
      </c>
      <c r="G6" s="120">
        <v>5</v>
      </c>
      <c r="H6" s="120">
        <v>6</v>
      </c>
      <c r="I6" s="120">
        <v>7</v>
      </c>
      <c r="J6" s="120">
        <v>8</v>
      </c>
      <c r="K6" s="121">
        <v>9</v>
      </c>
      <c r="L6" s="118">
        <v>10</v>
      </c>
      <c r="M6" s="118">
        <v>11</v>
      </c>
      <c r="N6" s="118">
        <v>12</v>
      </c>
      <c r="O6" s="118">
        <v>13</v>
      </c>
      <c r="P6" s="119">
        <v>14</v>
      </c>
      <c r="Q6" s="120">
        <v>15</v>
      </c>
      <c r="R6" s="120">
        <v>16</v>
      </c>
      <c r="S6" s="120">
        <v>17</v>
      </c>
      <c r="T6" s="120">
        <v>18</v>
      </c>
      <c r="U6" s="121">
        <v>19</v>
      </c>
      <c r="V6" s="118">
        <v>20</v>
      </c>
      <c r="W6" s="118">
        <v>21</v>
      </c>
      <c r="X6" s="118">
        <v>22</v>
      </c>
      <c r="Y6" s="118">
        <v>23</v>
      </c>
      <c r="Z6" s="119">
        <v>24</v>
      </c>
      <c r="AA6" s="120">
        <v>25</v>
      </c>
      <c r="AB6" s="120">
        <v>26</v>
      </c>
      <c r="AC6" s="120">
        <v>27</v>
      </c>
      <c r="AD6" s="120">
        <v>28</v>
      </c>
      <c r="AE6" s="121">
        <v>29</v>
      </c>
      <c r="AF6" s="118">
        <v>30</v>
      </c>
      <c r="AG6" s="37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</row>
    <row r="7" spans="1:55" s="106" customFormat="1" ht="15">
      <c r="A7" s="165" t="s">
        <v>38</v>
      </c>
      <c r="B7" s="157">
        <v>20</v>
      </c>
      <c r="C7" s="24"/>
      <c r="D7" s="67"/>
      <c r="E7" s="67"/>
      <c r="F7" s="67"/>
      <c r="G7" s="67"/>
      <c r="H7" s="67"/>
      <c r="I7" s="9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1:32" s="106" customFormat="1" ht="15.75" customHeight="1">
      <c r="A8" s="156" t="s">
        <v>61</v>
      </c>
      <c r="B8" s="152">
        <v>0.107</v>
      </c>
      <c r="C8" s="23"/>
      <c r="D8" s="67"/>
      <c r="E8" s="67"/>
      <c r="F8" s="67"/>
      <c r="G8" s="67"/>
      <c r="H8" s="67"/>
      <c r="I8" s="9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4"/>
      <c r="AE8" s="24"/>
      <c r="AF8" s="24"/>
    </row>
    <row r="9" spans="1:32" s="106" customFormat="1" ht="15.75" customHeight="1">
      <c r="A9" s="156" t="s">
        <v>144</v>
      </c>
      <c r="B9" s="152">
        <v>0.022</v>
      </c>
      <c r="C9" s="23"/>
      <c r="D9" s="67"/>
      <c r="E9" s="67"/>
      <c r="F9" s="67"/>
      <c r="G9" s="67"/>
      <c r="H9" s="67"/>
      <c r="I9" s="9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4"/>
      <c r="Z9" s="24"/>
      <c r="AA9" s="24"/>
      <c r="AB9" s="24"/>
      <c r="AC9" s="24"/>
      <c r="AD9" s="24"/>
      <c r="AE9" s="24"/>
      <c r="AF9" s="24"/>
    </row>
    <row r="10" spans="1:32" s="106" customFormat="1" ht="17.25" customHeight="1">
      <c r="A10" s="166" t="s">
        <v>9</v>
      </c>
      <c r="B10" s="152">
        <v>0.2</v>
      </c>
      <c r="C10" s="23"/>
      <c r="D10" s="67"/>
      <c r="E10" s="67"/>
      <c r="F10" s="67"/>
      <c r="G10" s="67"/>
      <c r="H10" s="67"/>
      <c r="I10" s="9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55" s="106" customFormat="1" ht="17.25" customHeight="1">
      <c r="A11" s="106" t="s">
        <v>83</v>
      </c>
      <c r="B11" s="20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</row>
    <row r="12" spans="1:55" s="106" customFormat="1" ht="47.25" customHeight="1">
      <c r="A12" s="168" t="s">
        <v>84</v>
      </c>
      <c r="B12" s="193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</row>
    <row r="13" spans="1:55" s="106" customFormat="1" ht="32.25" customHeight="1">
      <c r="A13" s="168" t="s">
        <v>95</v>
      </c>
      <c r="B13" s="193">
        <v>10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55" s="106" customFormat="1" ht="46.5" customHeight="1">
      <c r="A14" s="169" t="s">
        <v>130</v>
      </c>
      <c r="B14" s="193">
        <v>15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</row>
    <row r="15" spans="1:55" s="106" customFormat="1" ht="47.25" customHeight="1">
      <c r="A15" s="168" t="s">
        <v>136</v>
      </c>
      <c r="B15" s="193">
        <v>40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55" s="106" customFormat="1" ht="33.75" customHeight="1">
      <c r="A16" s="168" t="s">
        <v>98</v>
      </c>
      <c r="B16" s="193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</row>
    <row r="17" spans="1:55" s="106" customFormat="1" ht="21" customHeight="1">
      <c r="A17" s="194" t="s">
        <v>149</v>
      </c>
      <c r="B17" s="167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106" customFormat="1" ht="121.5" customHeight="1">
      <c r="A18" s="150" t="s">
        <v>54</v>
      </c>
      <c r="B18" s="167"/>
      <c r="C18" s="152">
        <v>0.07</v>
      </c>
      <c r="D18" s="153">
        <v>0.07</v>
      </c>
      <c r="E18" s="153">
        <v>0.07</v>
      </c>
      <c r="F18" s="153">
        <v>0.07</v>
      </c>
      <c r="G18" s="153">
        <v>0.07</v>
      </c>
      <c r="H18" s="153">
        <v>0.07</v>
      </c>
      <c r="I18" s="153">
        <v>0.07</v>
      </c>
      <c r="J18" s="153">
        <v>0.07</v>
      </c>
      <c r="K18" s="153">
        <v>0.07</v>
      </c>
      <c r="L18" s="153">
        <v>0.07</v>
      </c>
      <c r="M18" s="153">
        <v>0.07</v>
      </c>
      <c r="N18" s="153">
        <v>0.07</v>
      </c>
      <c r="O18" s="153">
        <v>0.07</v>
      </c>
      <c r="P18" s="153">
        <v>0.07</v>
      </c>
      <c r="Q18" s="153">
        <v>0.07</v>
      </c>
      <c r="R18" s="153">
        <v>0.07</v>
      </c>
      <c r="S18" s="153">
        <v>0.07</v>
      </c>
      <c r="T18" s="153">
        <v>0.07</v>
      </c>
      <c r="U18" s="153">
        <v>0.07</v>
      </c>
      <c r="V18" s="153">
        <v>0.07</v>
      </c>
      <c r="W18" s="153">
        <v>0.07</v>
      </c>
      <c r="X18" s="153">
        <v>0.07</v>
      </c>
      <c r="Y18" s="153">
        <v>0.07</v>
      </c>
      <c r="Z18" s="153">
        <v>0.07</v>
      </c>
      <c r="AA18" s="153">
        <v>0.07</v>
      </c>
      <c r="AB18" s="153">
        <v>0.07</v>
      </c>
      <c r="AC18" s="153">
        <v>0.07</v>
      </c>
      <c r="AD18" s="153">
        <v>0.07</v>
      </c>
      <c r="AE18" s="153">
        <v>0.07</v>
      </c>
      <c r="AF18" s="153">
        <v>0.07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 s="106" customFormat="1" ht="18" customHeight="1">
      <c r="A19" s="150" t="s">
        <v>143</v>
      </c>
      <c r="B19" s="151"/>
      <c r="C19" s="162">
        <v>0.1</v>
      </c>
      <c r="D19" s="163">
        <v>0.11</v>
      </c>
      <c r="E19" s="163">
        <v>0.05</v>
      </c>
      <c r="F19" s="163">
        <v>0.07</v>
      </c>
      <c r="G19" s="163">
        <v>0.07</v>
      </c>
      <c r="H19" s="163">
        <v>0.07</v>
      </c>
      <c r="I19" s="163">
        <v>0.07</v>
      </c>
      <c r="J19" s="163">
        <v>0.07</v>
      </c>
      <c r="K19" s="163">
        <v>0.07</v>
      </c>
      <c r="L19" s="163">
        <v>0.07</v>
      </c>
      <c r="M19" s="163">
        <v>0.07</v>
      </c>
      <c r="N19" s="163">
        <v>0.07</v>
      </c>
      <c r="O19" s="163">
        <v>0.07</v>
      </c>
      <c r="P19" s="163">
        <v>0.07</v>
      </c>
      <c r="Q19" s="163">
        <v>0.07</v>
      </c>
      <c r="R19" s="163">
        <v>0.07</v>
      </c>
      <c r="S19" s="163">
        <v>0.07</v>
      </c>
      <c r="T19" s="163">
        <v>0.07</v>
      </c>
      <c r="U19" s="163">
        <v>0.07</v>
      </c>
      <c r="V19" s="163">
        <v>0.07</v>
      </c>
      <c r="W19" s="163">
        <v>0.07</v>
      </c>
      <c r="X19" s="163">
        <v>0.07</v>
      </c>
      <c r="Y19" s="163">
        <v>0.07</v>
      </c>
      <c r="Z19" s="163">
        <v>0.07</v>
      </c>
      <c r="AA19" s="163">
        <v>0.07</v>
      </c>
      <c r="AB19" s="163">
        <v>0.07</v>
      </c>
      <c r="AC19" s="163">
        <v>0.07</v>
      </c>
      <c r="AD19" s="163">
        <v>0.07</v>
      </c>
      <c r="AE19" s="163">
        <v>0.07</v>
      </c>
      <c r="AF19" s="164">
        <v>0.07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s="106" customFormat="1" ht="19.5" customHeight="1">
      <c r="A20" s="150" t="s">
        <v>51</v>
      </c>
      <c r="B20" s="167"/>
      <c r="C20" s="162">
        <v>0.1</v>
      </c>
      <c r="D20" s="163">
        <v>0.1</v>
      </c>
      <c r="E20" s="163">
        <v>0.07</v>
      </c>
      <c r="F20" s="163">
        <v>0.06</v>
      </c>
      <c r="G20" s="163">
        <v>0.06</v>
      </c>
      <c r="H20" s="163">
        <v>0.06</v>
      </c>
      <c r="I20" s="163">
        <v>0.06</v>
      </c>
      <c r="J20" s="163">
        <v>0.06</v>
      </c>
      <c r="K20" s="163">
        <v>0.06</v>
      </c>
      <c r="L20" s="163">
        <v>0.06</v>
      </c>
      <c r="M20" s="163">
        <v>0.06</v>
      </c>
      <c r="N20" s="163">
        <v>0.06</v>
      </c>
      <c r="O20" s="163">
        <v>0.06</v>
      </c>
      <c r="P20" s="163">
        <v>0.06</v>
      </c>
      <c r="Q20" s="163">
        <v>0.06</v>
      </c>
      <c r="R20" s="163">
        <v>0.06</v>
      </c>
      <c r="S20" s="163">
        <v>0.06</v>
      </c>
      <c r="T20" s="163">
        <v>0.06</v>
      </c>
      <c r="U20" s="163">
        <v>0.06</v>
      </c>
      <c r="V20" s="163">
        <v>0.06</v>
      </c>
      <c r="W20" s="163">
        <v>0.06</v>
      </c>
      <c r="X20" s="163">
        <v>0.06</v>
      </c>
      <c r="Y20" s="163">
        <v>0.06</v>
      </c>
      <c r="Z20" s="163">
        <v>0.06</v>
      </c>
      <c r="AA20" s="163">
        <v>0.06</v>
      </c>
      <c r="AB20" s="163">
        <v>0.06</v>
      </c>
      <c r="AC20" s="163">
        <v>0.06</v>
      </c>
      <c r="AD20" s="163">
        <v>0.06</v>
      </c>
      <c r="AE20" s="163">
        <v>0.06</v>
      </c>
      <c r="AF20" s="164">
        <v>0.06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s="106" customFormat="1" ht="19.5" customHeight="1">
      <c r="A21" s="150" t="s">
        <v>52</v>
      </c>
      <c r="B21" s="167"/>
      <c r="C21" s="162">
        <v>0.0972</v>
      </c>
      <c r="D21" s="163">
        <v>0.085</v>
      </c>
      <c r="E21" s="163">
        <v>0.076</v>
      </c>
      <c r="F21" s="163">
        <v>0.055</v>
      </c>
      <c r="G21" s="163">
        <v>0.065</v>
      </c>
      <c r="H21" s="163">
        <v>0.065</v>
      </c>
      <c r="I21" s="163">
        <v>0.065</v>
      </c>
      <c r="J21" s="163">
        <v>0.065</v>
      </c>
      <c r="K21" s="163">
        <v>0.065</v>
      </c>
      <c r="L21" s="163">
        <v>0.065</v>
      </c>
      <c r="M21" s="163">
        <v>0.065</v>
      </c>
      <c r="N21" s="163">
        <v>0.065</v>
      </c>
      <c r="O21" s="163">
        <v>0.065</v>
      </c>
      <c r="P21" s="163">
        <v>0.065</v>
      </c>
      <c r="Q21" s="163">
        <v>0.065</v>
      </c>
      <c r="R21" s="163">
        <v>0.065</v>
      </c>
      <c r="S21" s="163">
        <v>0.065</v>
      </c>
      <c r="T21" s="163">
        <v>0.065</v>
      </c>
      <c r="U21" s="163">
        <v>0.065</v>
      </c>
      <c r="V21" s="163">
        <v>0.065</v>
      </c>
      <c r="W21" s="163">
        <v>0.065</v>
      </c>
      <c r="X21" s="163">
        <v>0.065</v>
      </c>
      <c r="Y21" s="163">
        <v>0.065</v>
      </c>
      <c r="Z21" s="163">
        <v>0.065</v>
      </c>
      <c r="AA21" s="163">
        <v>0.065</v>
      </c>
      <c r="AB21" s="163">
        <v>0.065</v>
      </c>
      <c r="AC21" s="163">
        <v>0.065</v>
      </c>
      <c r="AD21" s="163">
        <v>0.065</v>
      </c>
      <c r="AE21" s="163">
        <v>0.065</v>
      </c>
      <c r="AF21" s="164">
        <v>0.065</v>
      </c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</row>
    <row r="22" spans="1:55" s="106" customFormat="1" ht="19.5" customHeight="1">
      <c r="A22" s="150" t="s">
        <v>53</v>
      </c>
      <c r="B22" s="167"/>
      <c r="C22" s="162">
        <v>0.01</v>
      </c>
      <c r="D22" s="163">
        <v>0.08</v>
      </c>
      <c r="E22" s="163">
        <v>0.08</v>
      </c>
      <c r="F22" s="163">
        <v>0.07</v>
      </c>
      <c r="G22" s="163">
        <v>0.06</v>
      </c>
      <c r="H22" s="163">
        <v>0.06</v>
      </c>
      <c r="I22" s="163">
        <v>0.06</v>
      </c>
      <c r="J22" s="163">
        <v>0.06</v>
      </c>
      <c r="K22" s="163">
        <v>0.06</v>
      </c>
      <c r="L22" s="163">
        <v>0.06</v>
      </c>
      <c r="M22" s="163">
        <v>0.06</v>
      </c>
      <c r="N22" s="163">
        <v>0.06</v>
      </c>
      <c r="O22" s="163">
        <v>0.06</v>
      </c>
      <c r="P22" s="163">
        <v>0.06</v>
      </c>
      <c r="Q22" s="163">
        <v>0.06</v>
      </c>
      <c r="R22" s="163">
        <v>0.06</v>
      </c>
      <c r="S22" s="163">
        <v>0.06</v>
      </c>
      <c r="T22" s="163">
        <v>0.06</v>
      </c>
      <c r="U22" s="163">
        <v>0.06</v>
      </c>
      <c r="V22" s="163">
        <v>0.06</v>
      </c>
      <c r="W22" s="163">
        <v>0.06</v>
      </c>
      <c r="X22" s="163">
        <v>0.06</v>
      </c>
      <c r="Y22" s="163">
        <v>0.06</v>
      </c>
      <c r="Z22" s="163">
        <v>0.06</v>
      </c>
      <c r="AA22" s="163">
        <v>0.06</v>
      </c>
      <c r="AB22" s="163">
        <v>0.06</v>
      </c>
      <c r="AC22" s="163">
        <v>0.06</v>
      </c>
      <c r="AD22" s="163">
        <v>0.06</v>
      </c>
      <c r="AE22" s="163">
        <v>0.06</v>
      </c>
      <c r="AF22" s="164">
        <v>0.06</v>
      </c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:55" s="106" customFormat="1" ht="19.5" customHeight="1">
      <c r="A23" s="150" t="s">
        <v>16</v>
      </c>
      <c r="B23" s="167"/>
      <c r="C23" s="162">
        <v>0.1</v>
      </c>
      <c r="D23" s="163">
        <v>0.1</v>
      </c>
      <c r="E23" s="163">
        <v>0.06</v>
      </c>
      <c r="F23" s="163">
        <v>0.07</v>
      </c>
      <c r="G23" s="163">
        <v>0.07</v>
      </c>
      <c r="H23" s="163">
        <v>0.07</v>
      </c>
      <c r="I23" s="163">
        <v>0.07</v>
      </c>
      <c r="J23" s="163">
        <v>0.07</v>
      </c>
      <c r="K23" s="163">
        <v>0.07</v>
      </c>
      <c r="L23" s="163">
        <v>0.07</v>
      </c>
      <c r="M23" s="163">
        <v>0.07</v>
      </c>
      <c r="N23" s="163">
        <v>0.07</v>
      </c>
      <c r="O23" s="163">
        <v>0.07</v>
      </c>
      <c r="P23" s="163">
        <v>0.07</v>
      </c>
      <c r="Q23" s="163">
        <v>0.07</v>
      </c>
      <c r="R23" s="163">
        <v>0.07</v>
      </c>
      <c r="S23" s="163">
        <v>0.07</v>
      </c>
      <c r="T23" s="163">
        <v>0.07</v>
      </c>
      <c r="U23" s="163">
        <v>0.07</v>
      </c>
      <c r="V23" s="163">
        <v>0.07</v>
      </c>
      <c r="W23" s="163">
        <v>0.07</v>
      </c>
      <c r="X23" s="163">
        <v>0.07</v>
      </c>
      <c r="Y23" s="163">
        <v>0.07</v>
      </c>
      <c r="Z23" s="163">
        <v>0.07</v>
      </c>
      <c r="AA23" s="163">
        <v>0.07</v>
      </c>
      <c r="AB23" s="163">
        <v>0.07</v>
      </c>
      <c r="AC23" s="163">
        <v>0.07</v>
      </c>
      <c r="AD23" s="163">
        <v>0.07</v>
      </c>
      <c r="AE23" s="163">
        <v>0.07</v>
      </c>
      <c r="AF23" s="164">
        <v>0.07</v>
      </c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</row>
    <row r="24" spans="1:32" s="75" customFormat="1" ht="21" customHeight="1">
      <c r="A24" s="70" t="s">
        <v>128</v>
      </c>
      <c r="B24" s="71"/>
      <c r="C24" s="72"/>
      <c r="D24" s="72"/>
      <c r="E24" s="72"/>
      <c r="F24" s="71"/>
      <c r="G24" s="71"/>
      <c r="H24" s="71"/>
      <c r="I24" s="71"/>
      <c r="J24" s="71"/>
      <c r="K24" s="72"/>
      <c r="L24" s="72"/>
      <c r="M24" s="72"/>
      <c r="N24" s="72"/>
      <c r="O24" s="72"/>
      <c r="P24" s="71"/>
      <c r="Q24" s="71"/>
      <c r="R24" s="71"/>
      <c r="S24" s="71"/>
      <c r="T24" s="71"/>
      <c r="U24" s="72"/>
      <c r="V24" s="72"/>
      <c r="W24" s="73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s="106" customFormat="1" ht="47.25" customHeight="1">
      <c r="A25" s="150" t="s">
        <v>49</v>
      </c>
      <c r="B25" s="170"/>
      <c r="C25" s="158">
        <v>200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46"/>
      <c r="X25" s="46"/>
      <c r="Y25" s="46"/>
      <c r="Z25" s="46"/>
      <c r="AA25" s="46"/>
      <c r="AB25" s="46"/>
      <c r="AC25" s="46"/>
      <c r="AD25" s="46"/>
      <c r="AE25" s="24"/>
      <c r="AF25" s="24"/>
    </row>
    <row r="26" spans="1:55" s="106" customFormat="1" ht="17.25" customHeight="1">
      <c r="A26" s="195" t="s">
        <v>85</v>
      </c>
      <c r="B26" s="16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55" s="106" customFormat="1" ht="66.75" customHeight="1">
      <c r="A27" s="150" t="s">
        <v>145</v>
      </c>
      <c r="B27" s="1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</row>
    <row r="28" spans="1:55" s="106" customFormat="1" ht="62.25" customHeight="1">
      <c r="A28" s="150" t="s">
        <v>146</v>
      </c>
      <c r="B28" s="15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</row>
    <row r="29" spans="1:55" s="106" customFormat="1" ht="49.5" customHeight="1">
      <c r="A29" s="150" t="s">
        <v>147</v>
      </c>
      <c r="B29" s="1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</row>
    <row r="30" spans="1:55" s="106" customFormat="1" ht="48.75" customHeight="1">
      <c r="A30" s="274" t="s">
        <v>125</v>
      </c>
      <c r="B30" s="275">
        <v>0.3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</row>
    <row r="31" spans="1:55" s="106" customFormat="1" ht="33.75" customHeight="1">
      <c r="A31" s="159" t="s">
        <v>148</v>
      </c>
      <c r="B31" s="160"/>
      <c r="C31" s="161">
        <v>0.5</v>
      </c>
      <c r="D31" s="161">
        <v>0.5</v>
      </c>
      <c r="E31" s="161">
        <v>0.5</v>
      </c>
      <c r="F31" s="161">
        <v>0.5</v>
      </c>
      <c r="G31" s="161">
        <v>0.5</v>
      </c>
      <c r="H31" s="161">
        <v>0.5</v>
      </c>
      <c r="I31" s="161">
        <v>0.5</v>
      </c>
      <c r="J31" s="161">
        <v>0.5</v>
      </c>
      <c r="K31" s="161">
        <v>0.5</v>
      </c>
      <c r="L31" s="161">
        <v>0.5</v>
      </c>
      <c r="M31" s="161">
        <v>0.5</v>
      </c>
      <c r="N31" s="161">
        <v>0.5</v>
      </c>
      <c r="O31" s="161">
        <v>0.5</v>
      </c>
      <c r="P31" s="161">
        <v>0.5</v>
      </c>
      <c r="Q31" s="161">
        <v>0.5</v>
      </c>
      <c r="R31" s="161">
        <v>0.5</v>
      </c>
      <c r="S31" s="161">
        <v>0.5</v>
      </c>
      <c r="T31" s="161">
        <v>0.5</v>
      </c>
      <c r="U31" s="161">
        <v>0.5</v>
      </c>
      <c r="V31" s="161">
        <v>0.5</v>
      </c>
      <c r="W31" s="161">
        <v>0.5</v>
      </c>
      <c r="X31" s="161">
        <v>0.5</v>
      </c>
      <c r="Y31" s="161">
        <v>0.5</v>
      </c>
      <c r="Z31" s="161">
        <v>0.5</v>
      </c>
      <c r="AA31" s="161">
        <v>0.5</v>
      </c>
      <c r="AB31" s="161">
        <v>0.5</v>
      </c>
      <c r="AC31" s="161">
        <v>0.5</v>
      </c>
      <c r="AD31" s="161">
        <v>0.5</v>
      </c>
      <c r="AE31" s="161">
        <v>0.5</v>
      </c>
      <c r="AF31" s="202">
        <v>0.5</v>
      </c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</row>
    <row r="32" spans="1:55" s="225" customFormat="1" ht="45.75" customHeight="1">
      <c r="A32" s="220" t="s">
        <v>94</v>
      </c>
      <c r="B32" s="221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</row>
    <row r="33" spans="1:55" s="106" customFormat="1" ht="45.75" customHeight="1">
      <c r="A33" s="168" t="s">
        <v>186</v>
      </c>
      <c r="B33" s="154"/>
      <c r="C33" s="193">
        <v>0.5</v>
      </c>
      <c r="D33" s="193">
        <v>0.5</v>
      </c>
      <c r="E33" s="193">
        <v>0.5</v>
      </c>
      <c r="F33" s="193">
        <v>0.5</v>
      </c>
      <c r="G33" s="193">
        <v>0.5</v>
      </c>
      <c r="H33" s="193">
        <v>0.5</v>
      </c>
      <c r="I33" s="193">
        <v>0.5</v>
      </c>
      <c r="J33" s="193">
        <v>0.5</v>
      </c>
      <c r="K33" s="193">
        <v>0.5</v>
      </c>
      <c r="L33" s="193">
        <v>0.5</v>
      </c>
      <c r="M33" s="193">
        <v>0.5</v>
      </c>
      <c r="N33" s="193">
        <v>0.5</v>
      </c>
      <c r="O33" s="193">
        <v>0.5</v>
      </c>
      <c r="P33" s="193">
        <v>0.5</v>
      </c>
      <c r="Q33" s="193">
        <v>0.5</v>
      </c>
      <c r="R33" s="193">
        <v>0.5</v>
      </c>
      <c r="S33" s="193">
        <v>0.5</v>
      </c>
      <c r="T33" s="193">
        <v>0.5</v>
      </c>
      <c r="U33" s="193">
        <v>0.5</v>
      </c>
      <c r="V33" s="193">
        <v>0.5</v>
      </c>
      <c r="W33" s="193">
        <v>0.5</v>
      </c>
      <c r="X33" s="193">
        <v>0.5</v>
      </c>
      <c r="Y33" s="193">
        <v>0.5</v>
      </c>
      <c r="Z33" s="193">
        <v>0.5</v>
      </c>
      <c r="AA33" s="193">
        <v>0.5</v>
      </c>
      <c r="AB33" s="193">
        <v>0.5</v>
      </c>
      <c r="AC33" s="193">
        <v>0.5</v>
      </c>
      <c r="AD33" s="193">
        <v>0.5</v>
      </c>
      <c r="AE33" s="193">
        <v>0.5</v>
      </c>
      <c r="AF33" s="193">
        <v>0.5</v>
      </c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</row>
    <row r="34" spans="1:55" s="106" customFormat="1" ht="18" customHeight="1">
      <c r="A34" s="196" t="s">
        <v>86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</row>
    <row r="35" spans="1:55" s="106" customFormat="1" ht="17.25" customHeight="1">
      <c r="A35" s="150" t="s">
        <v>55</v>
      </c>
      <c r="B35" s="171"/>
      <c r="C35" s="193">
        <v>80</v>
      </c>
      <c r="D35" s="193">
        <v>80</v>
      </c>
      <c r="E35" s="193">
        <v>80</v>
      </c>
      <c r="F35" s="193">
        <v>80</v>
      </c>
      <c r="G35" s="193">
        <v>80</v>
      </c>
      <c r="H35" s="193">
        <v>80</v>
      </c>
      <c r="I35" s="193">
        <v>80</v>
      </c>
      <c r="J35" s="193">
        <v>80</v>
      </c>
      <c r="K35" s="193">
        <v>80</v>
      </c>
      <c r="L35" s="193">
        <v>80</v>
      </c>
      <c r="M35" s="193">
        <v>80</v>
      </c>
      <c r="N35" s="193">
        <v>80</v>
      </c>
      <c r="O35" s="193">
        <v>80</v>
      </c>
      <c r="P35" s="193">
        <v>80</v>
      </c>
      <c r="Q35" s="193">
        <v>80</v>
      </c>
      <c r="R35" s="193">
        <v>80</v>
      </c>
      <c r="S35" s="193">
        <v>80</v>
      </c>
      <c r="T35" s="193">
        <v>80</v>
      </c>
      <c r="U35" s="193">
        <v>80</v>
      </c>
      <c r="V35" s="193">
        <v>80</v>
      </c>
      <c r="W35" s="193">
        <v>80</v>
      </c>
      <c r="X35" s="193">
        <v>80</v>
      </c>
      <c r="Y35" s="193">
        <v>80</v>
      </c>
      <c r="Z35" s="193">
        <v>80</v>
      </c>
      <c r="AA35" s="193">
        <v>80</v>
      </c>
      <c r="AB35" s="193">
        <v>80</v>
      </c>
      <c r="AC35" s="193">
        <v>80</v>
      </c>
      <c r="AD35" s="193">
        <v>80</v>
      </c>
      <c r="AE35" s="193">
        <v>80</v>
      </c>
      <c r="AF35" s="193">
        <v>80</v>
      </c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</row>
    <row r="36" spans="1:55" ht="60.75" customHeight="1">
      <c r="A36" s="226" t="s">
        <v>150</v>
      </c>
      <c r="B36" s="227"/>
      <c r="C36" s="214">
        <v>20</v>
      </c>
      <c r="D36" s="214">
        <v>20</v>
      </c>
      <c r="E36" s="214">
        <v>20</v>
      </c>
      <c r="F36" s="214">
        <v>20</v>
      </c>
      <c r="G36" s="214">
        <v>20</v>
      </c>
      <c r="H36" s="214">
        <v>20</v>
      </c>
      <c r="I36" s="214">
        <v>20</v>
      </c>
      <c r="J36" s="214">
        <v>20</v>
      </c>
      <c r="K36" s="214">
        <v>20</v>
      </c>
      <c r="L36" s="214">
        <v>20</v>
      </c>
      <c r="M36" s="214">
        <v>20</v>
      </c>
      <c r="N36" s="214">
        <v>20</v>
      </c>
      <c r="O36" s="214">
        <v>20</v>
      </c>
      <c r="P36" s="214">
        <v>20</v>
      </c>
      <c r="Q36" s="214">
        <v>20</v>
      </c>
      <c r="R36" s="214">
        <v>20</v>
      </c>
      <c r="S36" s="214">
        <v>20</v>
      </c>
      <c r="T36" s="214">
        <v>20</v>
      </c>
      <c r="U36" s="214">
        <v>20</v>
      </c>
      <c r="V36" s="214">
        <v>20</v>
      </c>
      <c r="W36" s="214">
        <v>20</v>
      </c>
      <c r="X36" s="214">
        <v>20</v>
      </c>
      <c r="Y36" s="214">
        <v>20</v>
      </c>
      <c r="Z36" s="214">
        <v>20</v>
      </c>
      <c r="AA36" s="214">
        <v>20</v>
      </c>
      <c r="AB36" s="214">
        <v>20</v>
      </c>
      <c r="AC36" s="214">
        <v>20</v>
      </c>
      <c r="AD36" s="214">
        <v>20</v>
      </c>
      <c r="AE36" s="214">
        <v>20</v>
      </c>
      <c r="AF36" s="214">
        <v>20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</row>
    <row r="37" spans="1:55" ht="33.75" customHeight="1">
      <c r="A37" s="226" t="s">
        <v>151</v>
      </c>
      <c r="B37" s="227"/>
      <c r="C37" s="228">
        <v>500</v>
      </c>
      <c r="D37" s="228">
        <v>500</v>
      </c>
      <c r="E37" s="228">
        <v>500</v>
      </c>
      <c r="F37" s="228">
        <v>500</v>
      </c>
      <c r="G37" s="228">
        <v>500</v>
      </c>
      <c r="H37" s="228">
        <v>500</v>
      </c>
      <c r="I37" s="228">
        <v>500</v>
      </c>
      <c r="J37" s="228">
        <v>500</v>
      </c>
      <c r="K37" s="228">
        <v>500</v>
      </c>
      <c r="L37" s="228">
        <v>500</v>
      </c>
      <c r="M37" s="228">
        <v>500</v>
      </c>
      <c r="N37" s="228">
        <v>500</v>
      </c>
      <c r="O37" s="228">
        <v>500</v>
      </c>
      <c r="P37" s="228">
        <v>500</v>
      </c>
      <c r="Q37" s="228">
        <v>500</v>
      </c>
      <c r="R37" s="228">
        <v>500</v>
      </c>
      <c r="S37" s="228">
        <v>500</v>
      </c>
      <c r="T37" s="228">
        <v>500</v>
      </c>
      <c r="U37" s="228">
        <v>500</v>
      </c>
      <c r="V37" s="228">
        <v>500</v>
      </c>
      <c r="W37" s="228">
        <v>500</v>
      </c>
      <c r="X37" s="228">
        <v>500</v>
      </c>
      <c r="Y37" s="228">
        <v>500</v>
      </c>
      <c r="Z37" s="228">
        <v>500</v>
      </c>
      <c r="AA37" s="228">
        <v>500</v>
      </c>
      <c r="AB37" s="228">
        <v>500</v>
      </c>
      <c r="AC37" s="228">
        <v>500</v>
      </c>
      <c r="AD37" s="228">
        <v>500</v>
      </c>
      <c r="AE37" s="228">
        <v>500</v>
      </c>
      <c r="AF37" s="228">
        <v>500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</row>
    <row r="38" spans="1:32" s="106" customFormat="1" ht="105">
      <c r="A38" s="150" t="s">
        <v>56</v>
      </c>
      <c r="B38" s="172"/>
      <c r="C38" s="234">
        <v>150</v>
      </c>
      <c r="D38" s="234">
        <v>150</v>
      </c>
      <c r="E38" s="234">
        <v>150</v>
      </c>
      <c r="F38" s="234">
        <v>150</v>
      </c>
      <c r="G38" s="234">
        <v>150</v>
      </c>
      <c r="H38" s="234">
        <v>150</v>
      </c>
      <c r="I38" s="234">
        <v>150</v>
      </c>
      <c r="J38" s="234">
        <v>150</v>
      </c>
      <c r="K38" s="234">
        <v>150</v>
      </c>
      <c r="L38" s="234">
        <v>150</v>
      </c>
      <c r="M38" s="234">
        <v>150</v>
      </c>
      <c r="N38" s="234">
        <v>150</v>
      </c>
      <c r="O38" s="234">
        <v>150</v>
      </c>
      <c r="P38" s="234">
        <v>150</v>
      </c>
      <c r="Q38" s="234">
        <v>150</v>
      </c>
      <c r="R38" s="234">
        <v>150</v>
      </c>
      <c r="S38" s="234">
        <v>150</v>
      </c>
      <c r="T38" s="234">
        <v>150</v>
      </c>
      <c r="U38" s="234">
        <v>150</v>
      </c>
      <c r="V38" s="234">
        <v>150</v>
      </c>
      <c r="W38" s="234">
        <v>150</v>
      </c>
      <c r="X38" s="234">
        <v>150</v>
      </c>
      <c r="Y38" s="234">
        <v>150</v>
      </c>
      <c r="Z38" s="234">
        <v>150</v>
      </c>
      <c r="AA38" s="234">
        <v>150</v>
      </c>
      <c r="AB38" s="234">
        <v>150</v>
      </c>
      <c r="AC38" s="234">
        <v>150</v>
      </c>
      <c r="AD38" s="234">
        <v>150</v>
      </c>
      <c r="AE38" s="234">
        <v>150</v>
      </c>
      <c r="AF38" s="234">
        <v>150</v>
      </c>
    </row>
    <row r="39" spans="1:32" s="106" customFormat="1" ht="15">
      <c r="A39" s="196" t="s">
        <v>63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4"/>
      <c r="X39" s="175"/>
      <c r="Y39" s="175"/>
      <c r="Z39" s="175"/>
      <c r="AA39" s="175"/>
      <c r="AB39" s="175"/>
      <c r="AC39" s="175"/>
      <c r="AD39" s="175"/>
      <c r="AE39" s="175"/>
      <c r="AF39" s="175"/>
    </row>
    <row r="40" spans="1:32" s="106" customFormat="1" ht="15">
      <c r="A40" s="150" t="s">
        <v>126</v>
      </c>
      <c r="B40" s="172"/>
      <c r="C40" s="234">
        <v>10</v>
      </c>
      <c r="D40" s="234">
        <v>10</v>
      </c>
      <c r="E40" s="234">
        <v>10</v>
      </c>
      <c r="F40" s="234">
        <v>10</v>
      </c>
      <c r="G40" s="234">
        <v>10</v>
      </c>
      <c r="H40" s="234">
        <v>10</v>
      </c>
      <c r="I40" s="234">
        <v>10</v>
      </c>
      <c r="J40" s="234">
        <v>10</v>
      </c>
      <c r="K40" s="234">
        <v>10</v>
      </c>
      <c r="L40" s="234">
        <v>10</v>
      </c>
      <c r="M40" s="235">
        <v>10</v>
      </c>
      <c r="N40" s="235">
        <v>10</v>
      </c>
      <c r="O40" s="235">
        <v>10</v>
      </c>
      <c r="P40" s="235">
        <v>10</v>
      </c>
      <c r="Q40" s="235">
        <v>10</v>
      </c>
      <c r="R40" s="235">
        <v>10</v>
      </c>
      <c r="S40" s="235">
        <v>10</v>
      </c>
      <c r="T40" s="235">
        <v>10</v>
      </c>
      <c r="U40" s="235">
        <v>10</v>
      </c>
      <c r="V40" s="235">
        <v>10</v>
      </c>
      <c r="W40" s="235">
        <v>10</v>
      </c>
      <c r="X40" s="235">
        <v>10</v>
      </c>
      <c r="Y40" s="235">
        <v>10</v>
      </c>
      <c r="Z40" s="235">
        <v>10</v>
      </c>
      <c r="AA40" s="235">
        <v>10</v>
      </c>
      <c r="AB40" s="235">
        <v>10</v>
      </c>
      <c r="AC40" s="235">
        <v>10</v>
      </c>
      <c r="AD40" s="235">
        <v>10</v>
      </c>
      <c r="AE40" s="235">
        <v>10</v>
      </c>
      <c r="AF40" s="235">
        <v>10</v>
      </c>
    </row>
    <row r="41" spans="1:32" s="176" customFormat="1" ht="45">
      <c r="A41" s="150" t="s">
        <v>109</v>
      </c>
      <c r="B41" s="172"/>
      <c r="C41" s="234">
        <v>60</v>
      </c>
      <c r="D41" s="234">
        <v>60</v>
      </c>
      <c r="E41" s="234">
        <v>60</v>
      </c>
      <c r="F41" s="234">
        <v>60</v>
      </c>
      <c r="G41" s="234">
        <v>60</v>
      </c>
      <c r="H41" s="234">
        <v>60</v>
      </c>
      <c r="I41" s="234">
        <v>60</v>
      </c>
      <c r="J41" s="234">
        <v>60</v>
      </c>
      <c r="K41" s="234">
        <v>60</v>
      </c>
      <c r="L41" s="234">
        <v>60</v>
      </c>
      <c r="M41" s="234">
        <v>60</v>
      </c>
      <c r="N41" s="234">
        <v>60</v>
      </c>
      <c r="O41" s="234">
        <v>60</v>
      </c>
      <c r="P41" s="234">
        <v>60</v>
      </c>
      <c r="Q41" s="234">
        <v>60</v>
      </c>
      <c r="R41" s="234">
        <v>60</v>
      </c>
      <c r="S41" s="234">
        <v>60</v>
      </c>
      <c r="T41" s="234">
        <v>60</v>
      </c>
      <c r="U41" s="234">
        <v>60</v>
      </c>
      <c r="V41" s="234">
        <v>60</v>
      </c>
      <c r="W41" s="234">
        <v>60</v>
      </c>
      <c r="X41" s="234">
        <v>60</v>
      </c>
      <c r="Y41" s="234">
        <v>60</v>
      </c>
      <c r="Z41" s="234">
        <v>60</v>
      </c>
      <c r="AA41" s="234">
        <v>60</v>
      </c>
      <c r="AB41" s="234">
        <v>60</v>
      </c>
      <c r="AC41" s="234">
        <v>60</v>
      </c>
      <c r="AD41" s="234">
        <v>60</v>
      </c>
      <c r="AE41" s="234">
        <v>60</v>
      </c>
      <c r="AF41" s="234">
        <v>60</v>
      </c>
    </row>
    <row r="42" spans="1:32" s="106" customFormat="1" ht="45">
      <c r="A42" s="150" t="s">
        <v>122</v>
      </c>
      <c r="B42" s="173">
        <v>10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4"/>
      <c r="X42" s="175"/>
      <c r="Y42" s="175"/>
      <c r="Z42" s="175"/>
      <c r="AA42" s="175"/>
      <c r="AB42" s="175"/>
      <c r="AC42" s="175"/>
      <c r="AD42" s="175"/>
      <c r="AE42" s="175"/>
      <c r="AF42" s="175"/>
    </row>
    <row r="43" spans="1:32" ht="45">
      <c r="A43" s="150" t="s">
        <v>152</v>
      </c>
      <c r="C43" s="229">
        <v>0.5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1"/>
      <c r="X43" s="232"/>
      <c r="Y43" s="232"/>
      <c r="Z43" s="232"/>
      <c r="AA43" s="232"/>
      <c r="AB43" s="232"/>
      <c r="AC43" s="232"/>
      <c r="AD43" s="232"/>
      <c r="AE43" s="232"/>
      <c r="AF43" s="232"/>
    </row>
    <row r="44" spans="1:34" s="106" customFormat="1" ht="45">
      <c r="A44" s="168" t="s">
        <v>153</v>
      </c>
      <c r="B44" s="154">
        <v>1</v>
      </c>
      <c r="C44" s="234">
        <v>1</v>
      </c>
      <c r="D44" s="234">
        <v>1</v>
      </c>
      <c r="E44" s="234">
        <v>1</v>
      </c>
      <c r="F44" s="234">
        <v>1</v>
      </c>
      <c r="G44" s="234">
        <v>1</v>
      </c>
      <c r="H44" s="234">
        <v>1</v>
      </c>
      <c r="I44" s="234">
        <v>1</v>
      </c>
      <c r="J44" s="234">
        <v>1</v>
      </c>
      <c r="K44" s="234">
        <v>1</v>
      </c>
      <c r="L44" s="234">
        <v>1</v>
      </c>
      <c r="M44" s="234">
        <v>1</v>
      </c>
      <c r="N44" s="234">
        <v>1</v>
      </c>
      <c r="O44" s="234">
        <v>1</v>
      </c>
      <c r="P44" s="234">
        <v>1</v>
      </c>
      <c r="Q44" s="234">
        <v>1</v>
      </c>
      <c r="R44" s="234">
        <v>1</v>
      </c>
      <c r="S44" s="234">
        <v>1</v>
      </c>
      <c r="T44" s="234">
        <v>1</v>
      </c>
      <c r="U44" s="234">
        <v>1</v>
      </c>
      <c r="V44" s="234">
        <v>1</v>
      </c>
      <c r="W44" s="234">
        <v>1</v>
      </c>
      <c r="X44" s="234">
        <v>1</v>
      </c>
      <c r="Y44" s="234">
        <v>1</v>
      </c>
      <c r="Z44" s="234">
        <v>1</v>
      </c>
      <c r="AA44" s="234">
        <v>1</v>
      </c>
      <c r="AB44" s="234">
        <v>1</v>
      </c>
      <c r="AC44" s="234">
        <v>1</v>
      </c>
      <c r="AD44" s="234">
        <v>1</v>
      </c>
      <c r="AE44" s="234">
        <v>1</v>
      </c>
      <c r="AF44" s="234">
        <v>1</v>
      </c>
      <c r="AG44" s="177"/>
      <c r="AH44" s="177"/>
    </row>
    <row r="45" spans="1:34" ht="30">
      <c r="A45" s="168" t="s">
        <v>154</v>
      </c>
      <c r="B45" s="233">
        <v>1</v>
      </c>
      <c r="C45" s="213">
        <v>2</v>
      </c>
      <c r="D45" s="213">
        <v>3</v>
      </c>
      <c r="E45" s="213">
        <v>3</v>
      </c>
      <c r="F45" s="213">
        <v>3</v>
      </c>
      <c r="G45" s="213">
        <v>3</v>
      </c>
      <c r="H45" s="213">
        <v>3</v>
      </c>
      <c r="I45" s="213">
        <v>3</v>
      </c>
      <c r="J45" s="213">
        <v>3</v>
      </c>
      <c r="K45" s="213">
        <v>3</v>
      </c>
      <c r="L45" s="213">
        <v>3</v>
      </c>
      <c r="M45" s="213">
        <v>3</v>
      </c>
      <c r="N45" s="213">
        <v>3</v>
      </c>
      <c r="O45" s="213">
        <v>3</v>
      </c>
      <c r="P45" s="213">
        <v>3</v>
      </c>
      <c r="Q45" s="213">
        <v>3</v>
      </c>
      <c r="R45" s="213">
        <v>3</v>
      </c>
      <c r="S45" s="213">
        <v>3</v>
      </c>
      <c r="T45" s="213">
        <v>3</v>
      </c>
      <c r="U45" s="213">
        <v>3</v>
      </c>
      <c r="V45" s="213">
        <v>3</v>
      </c>
      <c r="W45" s="213">
        <v>3</v>
      </c>
      <c r="X45" s="213">
        <v>3</v>
      </c>
      <c r="Y45" s="213">
        <v>3</v>
      </c>
      <c r="Z45" s="213">
        <v>3</v>
      </c>
      <c r="AA45" s="213">
        <v>3</v>
      </c>
      <c r="AB45" s="213">
        <v>3</v>
      </c>
      <c r="AC45" s="213">
        <v>3</v>
      </c>
      <c r="AD45" s="213">
        <v>3</v>
      </c>
      <c r="AE45" s="213">
        <v>3</v>
      </c>
      <c r="AF45" s="213">
        <v>3</v>
      </c>
      <c r="AG45" s="34"/>
      <c r="AH45" s="34"/>
    </row>
    <row r="46" spans="1:55" s="106" customFormat="1" ht="15.75" customHeight="1">
      <c r="A46" s="197" t="s">
        <v>62</v>
      </c>
      <c r="B46" s="179">
        <v>500</v>
      </c>
      <c r="C46" s="180"/>
      <c r="D46" s="180"/>
      <c r="E46" s="180"/>
      <c r="F46" s="172"/>
      <c r="G46" s="172"/>
      <c r="H46" s="172"/>
      <c r="I46" s="172"/>
      <c r="J46" s="172"/>
      <c r="K46" s="180"/>
      <c r="L46" s="180"/>
      <c r="M46" s="180"/>
      <c r="N46" s="180"/>
      <c r="O46" s="180"/>
      <c r="P46" s="172"/>
      <c r="Q46" s="172"/>
      <c r="R46" s="172"/>
      <c r="S46" s="172"/>
      <c r="T46" s="172"/>
      <c r="U46" s="180"/>
      <c r="V46" s="180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</row>
    <row r="47" spans="1:55" s="106" customFormat="1" ht="33" customHeight="1">
      <c r="A47" s="150" t="s">
        <v>124</v>
      </c>
      <c r="B47" s="193">
        <v>300</v>
      </c>
      <c r="C47" s="193">
        <v>300</v>
      </c>
      <c r="D47" s="193">
        <v>300</v>
      </c>
      <c r="E47" s="193">
        <v>300</v>
      </c>
      <c r="F47" s="193">
        <v>300</v>
      </c>
      <c r="G47" s="193">
        <v>300</v>
      </c>
      <c r="H47" s="193">
        <v>300</v>
      </c>
      <c r="I47" s="193">
        <v>300</v>
      </c>
      <c r="J47" s="193">
        <v>300</v>
      </c>
      <c r="K47" s="193">
        <v>300</v>
      </c>
      <c r="L47" s="193">
        <v>300</v>
      </c>
      <c r="M47" s="193">
        <v>300</v>
      </c>
      <c r="N47" s="193">
        <v>300</v>
      </c>
      <c r="O47" s="193">
        <v>300</v>
      </c>
      <c r="P47" s="193">
        <v>300</v>
      </c>
      <c r="Q47" s="193">
        <v>300</v>
      </c>
      <c r="R47" s="193">
        <v>300</v>
      </c>
      <c r="S47" s="193">
        <v>300</v>
      </c>
      <c r="T47" s="193">
        <v>300</v>
      </c>
      <c r="U47" s="193">
        <v>300</v>
      </c>
      <c r="V47" s="193">
        <v>300</v>
      </c>
      <c r="W47" s="193">
        <v>300</v>
      </c>
      <c r="X47" s="193">
        <v>300</v>
      </c>
      <c r="Y47" s="193">
        <v>300</v>
      </c>
      <c r="Z47" s="193">
        <v>300</v>
      </c>
      <c r="AA47" s="193">
        <v>300</v>
      </c>
      <c r="AB47" s="193">
        <v>300</v>
      </c>
      <c r="AC47" s="193">
        <v>300</v>
      </c>
      <c r="AD47" s="193">
        <v>300</v>
      </c>
      <c r="AE47" s="193">
        <v>300</v>
      </c>
      <c r="AF47" s="193">
        <v>300</v>
      </c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</row>
    <row r="48" spans="1:32" s="192" customFormat="1" ht="21" customHeight="1">
      <c r="A48" s="187" t="s">
        <v>133</v>
      </c>
      <c r="B48" s="188"/>
      <c r="C48" s="189"/>
      <c r="D48" s="189"/>
      <c r="E48" s="189"/>
      <c r="F48" s="188"/>
      <c r="G48" s="188"/>
      <c r="H48" s="188"/>
      <c r="I48" s="188"/>
      <c r="J48" s="188"/>
      <c r="K48" s="189"/>
      <c r="L48" s="189"/>
      <c r="M48" s="189"/>
      <c r="N48" s="189"/>
      <c r="O48" s="189"/>
      <c r="P48" s="188"/>
      <c r="Q48" s="188"/>
      <c r="R48" s="188"/>
      <c r="S48" s="188"/>
      <c r="T48" s="188"/>
      <c r="U48" s="189"/>
      <c r="V48" s="189"/>
      <c r="W48" s="190"/>
      <c r="X48" s="191"/>
      <c r="Y48" s="191"/>
      <c r="Z48" s="191"/>
      <c r="AA48" s="191"/>
      <c r="AB48" s="191"/>
      <c r="AC48" s="191"/>
      <c r="AD48" s="191"/>
      <c r="AE48" s="191"/>
      <c r="AF48" s="191"/>
    </row>
    <row r="49" spans="1:32" s="106" customFormat="1" ht="48" customHeight="1">
      <c r="A49" s="198" t="s">
        <v>134</v>
      </c>
      <c r="B49" s="154"/>
      <c r="C49" s="193">
        <v>18</v>
      </c>
      <c r="D49" s="193">
        <v>18</v>
      </c>
      <c r="E49" s="193">
        <v>18</v>
      </c>
      <c r="F49" s="193">
        <v>18</v>
      </c>
      <c r="G49" s="193">
        <v>18</v>
      </c>
      <c r="H49" s="193">
        <v>18</v>
      </c>
      <c r="I49" s="193">
        <v>18</v>
      </c>
      <c r="J49" s="193">
        <v>18</v>
      </c>
      <c r="K49" s="193">
        <v>18</v>
      </c>
      <c r="L49" s="193">
        <v>18</v>
      </c>
      <c r="M49" s="193">
        <v>18</v>
      </c>
      <c r="N49" s="193">
        <v>18</v>
      </c>
      <c r="O49" s="193">
        <v>18</v>
      </c>
      <c r="P49" s="193">
        <v>18</v>
      </c>
      <c r="Q49" s="193">
        <v>18</v>
      </c>
      <c r="R49" s="193">
        <v>18</v>
      </c>
      <c r="S49" s="193">
        <v>18</v>
      </c>
      <c r="T49" s="193">
        <v>18</v>
      </c>
      <c r="U49" s="193">
        <v>18</v>
      </c>
      <c r="V49" s="193">
        <v>18</v>
      </c>
      <c r="W49" s="193">
        <v>18</v>
      </c>
      <c r="X49" s="193">
        <v>18</v>
      </c>
      <c r="Y49" s="193">
        <v>18</v>
      </c>
      <c r="Z49" s="193">
        <v>18</v>
      </c>
      <c r="AA49" s="193">
        <v>18</v>
      </c>
      <c r="AB49" s="193">
        <v>18</v>
      </c>
      <c r="AC49" s="193">
        <v>18</v>
      </c>
      <c r="AD49" s="193">
        <v>18</v>
      </c>
      <c r="AE49" s="193">
        <v>18</v>
      </c>
      <c r="AF49" s="193">
        <v>18</v>
      </c>
    </row>
    <row r="50" spans="1:30" s="106" customFormat="1" ht="10.5" customHeight="1">
      <c r="A50" s="168"/>
      <c r="B50" s="105"/>
      <c r="C50" s="182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60"/>
      <c r="X50" s="60"/>
      <c r="Y50" s="60"/>
      <c r="Z50" s="60"/>
      <c r="AA50" s="60"/>
      <c r="AB50" s="60"/>
      <c r="AC50" s="60"/>
      <c r="AD50" s="60"/>
    </row>
    <row r="51" spans="1:30" s="106" customFormat="1" ht="19.5" customHeight="1">
      <c r="A51" s="183" t="s">
        <v>106</v>
      </c>
      <c r="B51" s="184"/>
      <c r="C51" s="185"/>
      <c r="D51" s="185"/>
      <c r="E51" s="185"/>
      <c r="F51" s="185"/>
      <c r="G51" s="185"/>
      <c r="H51" s="185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60"/>
      <c r="X51" s="60"/>
      <c r="Y51" s="60"/>
      <c r="Z51" s="60"/>
      <c r="AA51" s="60"/>
      <c r="AB51" s="60"/>
      <c r="AC51" s="60"/>
      <c r="AD51" s="60"/>
    </row>
    <row r="52" spans="2:30" ht="15">
      <c r="B52" s="23"/>
      <c r="C52" s="52"/>
      <c r="D52" s="23"/>
      <c r="E52" s="50"/>
      <c r="F52" s="52"/>
      <c r="G52" s="23"/>
      <c r="H52" s="23"/>
      <c r="I52" s="23"/>
      <c r="J52" s="23"/>
      <c r="K52" s="52"/>
      <c r="L52" s="23"/>
      <c r="M52" s="23"/>
      <c r="N52" s="23"/>
      <c r="O52" s="23"/>
      <c r="P52" s="52"/>
      <c r="Q52" s="23"/>
      <c r="R52" s="23"/>
      <c r="S52" s="23"/>
      <c r="T52" s="23"/>
      <c r="U52" s="52"/>
      <c r="V52" s="23"/>
      <c r="W52" s="46"/>
      <c r="X52" s="46"/>
      <c r="Y52" s="46"/>
      <c r="Z52" s="64"/>
      <c r="AA52" s="46"/>
      <c r="AB52" s="46"/>
      <c r="AC52" s="46"/>
      <c r="AD52" s="46"/>
    </row>
    <row r="53" spans="2:30" ht="15">
      <c r="B53" s="23"/>
      <c r="C53" s="52"/>
      <c r="D53" s="23"/>
      <c r="E53" s="50"/>
      <c r="F53" s="52"/>
      <c r="G53" s="23"/>
      <c r="H53" s="23"/>
      <c r="I53" s="23"/>
      <c r="J53" s="23"/>
      <c r="K53" s="52"/>
      <c r="L53" s="23"/>
      <c r="M53" s="23"/>
      <c r="N53" s="23"/>
      <c r="O53" s="23"/>
      <c r="P53" s="52"/>
      <c r="Q53" s="23"/>
      <c r="R53" s="23"/>
      <c r="S53" s="23"/>
      <c r="T53" s="23"/>
      <c r="U53" s="52"/>
      <c r="V53" s="23"/>
      <c r="W53" s="46"/>
      <c r="X53" s="46"/>
      <c r="Y53" s="46"/>
      <c r="Z53" s="64"/>
      <c r="AA53" s="46"/>
      <c r="AB53" s="46"/>
      <c r="AC53" s="46"/>
      <c r="AD53" s="46"/>
    </row>
    <row r="54" spans="2:30" ht="15">
      <c r="B54" s="23"/>
      <c r="C54" s="52"/>
      <c r="D54" s="23"/>
      <c r="E54" s="50"/>
      <c r="F54" s="52"/>
      <c r="G54" s="23"/>
      <c r="H54" s="23"/>
      <c r="I54" s="23"/>
      <c r="J54" s="23"/>
      <c r="K54" s="52"/>
      <c r="L54" s="23"/>
      <c r="M54" s="23"/>
      <c r="N54" s="23"/>
      <c r="O54" s="23"/>
      <c r="P54" s="52"/>
      <c r="Q54" s="23"/>
      <c r="R54" s="23"/>
      <c r="S54" s="23"/>
      <c r="T54" s="23"/>
      <c r="U54" s="52"/>
      <c r="V54" s="23"/>
      <c r="W54" s="46"/>
      <c r="X54" s="46"/>
      <c r="Y54" s="46"/>
      <c r="Z54" s="64"/>
      <c r="AA54" s="46"/>
      <c r="AB54" s="46"/>
      <c r="AC54" s="46"/>
      <c r="AD54" s="46"/>
    </row>
    <row r="55" spans="2:30" ht="15">
      <c r="B55" s="23"/>
      <c r="C55" s="52"/>
      <c r="D55" s="23"/>
      <c r="E55" s="50"/>
      <c r="F55" s="52"/>
      <c r="G55" s="23"/>
      <c r="H55" s="23"/>
      <c r="I55" s="23"/>
      <c r="J55" s="23"/>
      <c r="K55" s="52"/>
      <c r="L55" s="23"/>
      <c r="M55" s="23"/>
      <c r="N55" s="23"/>
      <c r="O55" s="23"/>
      <c r="P55" s="52"/>
      <c r="Q55" s="23"/>
      <c r="R55" s="23"/>
      <c r="S55" s="23"/>
      <c r="T55" s="23"/>
      <c r="U55" s="52"/>
      <c r="V55" s="23"/>
      <c r="W55" s="46"/>
      <c r="X55" s="46"/>
      <c r="Y55" s="46"/>
      <c r="Z55" s="64"/>
      <c r="AA55" s="46"/>
      <c r="AB55" s="46"/>
      <c r="AC55" s="46"/>
      <c r="AD55" s="46"/>
    </row>
    <row r="56" spans="2:30" ht="15">
      <c r="B56" s="23"/>
      <c r="C56" s="52"/>
      <c r="D56" s="23"/>
      <c r="E56" s="50"/>
      <c r="F56" s="52"/>
      <c r="G56" s="23"/>
      <c r="H56" s="23"/>
      <c r="I56" s="23"/>
      <c r="J56" s="23"/>
      <c r="K56" s="52"/>
      <c r="L56" s="23"/>
      <c r="M56" s="23"/>
      <c r="N56" s="23"/>
      <c r="O56" s="23"/>
      <c r="P56" s="52"/>
      <c r="Q56" s="23"/>
      <c r="R56" s="23"/>
      <c r="S56" s="23"/>
      <c r="T56" s="23"/>
      <c r="U56" s="52"/>
      <c r="V56" s="23"/>
      <c r="W56" s="46"/>
      <c r="X56" s="46"/>
      <c r="Y56" s="46"/>
      <c r="Z56" s="64"/>
      <c r="AA56" s="46"/>
      <c r="AB56" s="46"/>
      <c r="AC56" s="46"/>
      <c r="AD56" s="46"/>
    </row>
    <row r="57" spans="2:30" ht="15">
      <c r="B57" s="23"/>
      <c r="C57" s="52"/>
      <c r="D57" s="23"/>
      <c r="E57" s="50"/>
      <c r="F57" s="52"/>
      <c r="G57" s="23"/>
      <c r="H57" s="23"/>
      <c r="I57" s="23"/>
      <c r="J57" s="23"/>
      <c r="K57" s="52"/>
      <c r="L57" s="23"/>
      <c r="M57" s="23"/>
      <c r="N57" s="23"/>
      <c r="O57" s="23"/>
      <c r="P57" s="52"/>
      <c r="Q57" s="23"/>
      <c r="R57" s="23"/>
      <c r="S57" s="23"/>
      <c r="T57" s="23"/>
      <c r="U57" s="52"/>
      <c r="V57" s="23"/>
      <c r="W57" s="46"/>
      <c r="X57" s="46"/>
      <c r="Y57" s="46"/>
      <c r="Z57" s="64"/>
      <c r="AA57" s="46"/>
      <c r="AB57" s="46"/>
      <c r="AC57" s="46"/>
      <c r="AD57" s="46"/>
    </row>
    <row r="58" spans="2:30" ht="15">
      <c r="B58" s="23"/>
      <c r="C58" s="52"/>
      <c r="D58" s="23"/>
      <c r="E58" s="50"/>
      <c r="F58" s="52"/>
      <c r="G58" s="23"/>
      <c r="H58" s="23"/>
      <c r="I58" s="23"/>
      <c r="J58" s="23"/>
      <c r="K58" s="52"/>
      <c r="L58" s="23"/>
      <c r="M58" s="23"/>
      <c r="N58" s="23"/>
      <c r="O58" s="23"/>
      <c r="P58" s="52"/>
      <c r="Q58" s="23"/>
      <c r="R58" s="23"/>
      <c r="S58" s="23"/>
      <c r="T58" s="23"/>
      <c r="U58" s="52"/>
      <c r="V58" s="23"/>
      <c r="W58" s="46"/>
      <c r="X58" s="46"/>
      <c r="Y58" s="46"/>
      <c r="Z58" s="64"/>
      <c r="AA58" s="46"/>
      <c r="AB58" s="46"/>
      <c r="AC58" s="46"/>
      <c r="AD58" s="46"/>
    </row>
    <row r="59" spans="2:30" ht="15">
      <c r="B59" s="23"/>
      <c r="C59" s="52"/>
      <c r="D59" s="23"/>
      <c r="E59" s="50"/>
      <c r="F59" s="52"/>
      <c r="G59" s="23"/>
      <c r="H59" s="23"/>
      <c r="I59" s="23"/>
      <c r="J59" s="23"/>
      <c r="K59" s="52"/>
      <c r="L59" s="23"/>
      <c r="M59" s="23"/>
      <c r="N59" s="23"/>
      <c r="O59" s="23"/>
      <c r="P59" s="52"/>
      <c r="Q59" s="23"/>
      <c r="R59" s="23"/>
      <c r="S59" s="23"/>
      <c r="T59" s="23"/>
      <c r="U59" s="52"/>
      <c r="V59" s="23"/>
      <c r="W59" s="46"/>
      <c r="X59" s="46"/>
      <c r="Y59" s="46"/>
      <c r="Z59" s="64"/>
      <c r="AA59" s="46"/>
      <c r="AB59" s="46"/>
      <c r="AC59" s="46"/>
      <c r="AD59" s="46"/>
    </row>
    <row r="60" spans="2:30" ht="15">
      <c r="B60" s="23"/>
      <c r="C60" s="52"/>
      <c r="D60" s="23"/>
      <c r="E60" s="50"/>
      <c r="F60" s="52"/>
      <c r="G60" s="23"/>
      <c r="H60" s="23"/>
      <c r="I60" s="23"/>
      <c r="J60" s="23"/>
      <c r="K60" s="52"/>
      <c r="L60" s="23"/>
      <c r="M60" s="23"/>
      <c r="N60" s="23"/>
      <c r="O60" s="23"/>
      <c r="P60" s="52"/>
      <c r="Q60" s="23"/>
      <c r="R60" s="23"/>
      <c r="S60" s="23"/>
      <c r="T60" s="23"/>
      <c r="U60" s="52"/>
      <c r="V60" s="23"/>
      <c r="W60" s="46"/>
      <c r="X60" s="46"/>
      <c r="Y60" s="46"/>
      <c r="Z60" s="64"/>
      <c r="AA60" s="46"/>
      <c r="AB60" s="46"/>
      <c r="AC60" s="46"/>
      <c r="AD60" s="46"/>
    </row>
    <row r="61" spans="2:30" ht="15">
      <c r="B61" s="23"/>
      <c r="C61" s="52"/>
      <c r="D61" s="23"/>
      <c r="E61" s="50"/>
      <c r="F61" s="52"/>
      <c r="G61" s="23"/>
      <c r="H61" s="23"/>
      <c r="I61" s="23"/>
      <c r="J61" s="23"/>
      <c r="K61" s="52"/>
      <c r="L61" s="23"/>
      <c r="M61" s="23"/>
      <c r="N61" s="23"/>
      <c r="O61" s="23"/>
      <c r="P61" s="52"/>
      <c r="Q61" s="23"/>
      <c r="R61" s="23"/>
      <c r="S61" s="23"/>
      <c r="T61" s="23"/>
      <c r="U61" s="52"/>
      <c r="V61" s="23"/>
      <c r="W61" s="46"/>
      <c r="X61" s="46"/>
      <c r="Y61" s="46"/>
      <c r="Z61" s="64"/>
      <c r="AA61" s="46"/>
      <c r="AB61" s="46"/>
      <c r="AC61" s="46"/>
      <c r="AD61" s="46"/>
    </row>
    <row r="62" spans="2:30" ht="15">
      <c r="B62" s="23"/>
      <c r="C62" s="52"/>
      <c r="D62" s="23"/>
      <c r="E62" s="50"/>
      <c r="F62" s="52"/>
      <c r="G62" s="23"/>
      <c r="H62" s="23"/>
      <c r="I62" s="23"/>
      <c r="J62" s="23"/>
      <c r="K62" s="52"/>
      <c r="L62" s="23"/>
      <c r="M62" s="23"/>
      <c r="N62" s="23"/>
      <c r="O62" s="23"/>
      <c r="P62" s="52"/>
      <c r="Q62" s="23"/>
      <c r="R62" s="23"/>
      <c r="S62" s="23"/>
      <c r="T62" s="23"/>
      <c r="U62" s="52"/>
      <c r="V62" s="23"/>
      <c r="W62" s="46"/>
      <c r="X62" s="46"/>
      <c r="Y62" s="46"/>
      <c r="Z62" s="64"/>
      <c r="AA62" s="46"/>
      <c r="AB62" s="46"/>
      <c r="AC62" s="46"/>
      <c r="AD62" s="46"/>
    </row>
    <row r="63" spans="2:30" ht="15">
      <c r="B63" s="23"/>
      <c r="C63" s="52"/>
      <c r="D63" s="23"/>
      <c r="E63" s="50"/>
      <c r="F63" s="52"/>
      <c r="G63" s="23"/>
      <c r="H63" s="23"/>
      <c r="I63" s="23"/>
      <c r="J63" s="23"/>
      <c r="K63" s="52"/>
      <c r="L63" s="23"/>
      <c r="M63" s="23"/>
      <c r="N63" s="23"/>
      <c r="O63" s="23"/>
      <c r="P63" s="52"/>
      <c r="Q63" s="23"/>
      <c r="R63" s="23"/>
      <c r="S63" s="23"/>
      <c r="T63" s="23"/>
      <c r="U63" s="52"/>
      <c r="V63" s="23"/>
      <c r="W63" s="46"/>
      <c r="X63" s="46"/>
      <c r="Y63" s="46"/>
      <c r="Z63" s="64"/>
      <c r="AA63" s="46"/>
      <c r="AB63" s="46"/>
      <c r="AC63" s="46"/>
      <c r="AD63" s="46"/>
    </row>
    <row r="64" spans="2:30" ht="15">
      <c r="B64" s="23"/>
      <c r="C64" s="52"/>
      <c r="D64" s="23"/>
      <c r="E64" s="50"/>
      <c r="F64" s="52"/>
      <c r="G64" s="23"/>
      <c r="H64" s="23"/>
      <c r="I64" s="23"/>
      <c r="J64" s="23"/>
      <c r="K64" s="52"/>
      <c r="L64" s="23"/>
      <c r="M64" s="23"/>
      <c r="N64" s="23"/>
      <c r="O64" s="23"/>
      <c r="P64" s="52"/>
      <c r="Q64" s="23"/>
      <c r="R64" s="23"/>
      <c r="S64" s="23"/>
      <c r="T64" s="23"/>
      <c r="U64" s="52"/>
      <c r="V64" s="23"/>
      <c r="W64" s="46"/>
      <c r="X64" s="46"/>
      <c r="Y64" s="46"/>
      <c r="Z64" s="64"/>
      <c r="AA64" s="46"/>
      <c r="AB64" s="46"/>
      <c r="AC64" s="46"/>
      <c r="AD64" s="46"/>
    </row>
    <row r="65" spans="2:30" ht="15">
      <c r="B65" s="23"/>
      <c r="C65" s="52"/>
      <c r="D65" s="23"/>
      <c r="E65" s="50"/>
      <c r="F65" s="52"/>
      <c r="G65" s="23"/>
      <c r="H65" s="23"/>
      <c r="I65" s="23"/>
      <c r="J65" s="23"/>
      <c r="K65" s="52"/>
      <c r="L65" s="23"/>
      <c r="M65" s="23"/>
      <c r="N65" s="23"/>
      <c r="O65" s="23"/>
      <c r="P65" s="52"/>
      <c r="Q65" s="23"/>
      <c r="R65" s="23"/>
      <c r="S65" s="23"/>
      <c r="T65" s="23"/>
      <c r="U65" s="52"/>
      <c r="V65" s="23"/>
      <c r="W65" s="46"/>
      <c r="X65" s="46"/>
      <c r="Y65" s="46"/>
      <c r="Z65" s="64"/>
      <c r="AA65" s="46"/>
      <c r="AB65" s="46"/>
      <c r="AC65" s="46"/>
      <c r="AD65" s="46"/>
    </row>
    <row r="66" spans="2:22" ht="15">
      <c r="B66" s="23"/>
      <c r="C66" s="52"/>
      <c r="D66" s="23"/>
      <c r="E66" s="50"/>
      <c r="F66" s="52"/>
      <c r="G66" s="23"/>
      <c r="H66" s="23"/>
      <c r="I66" s="23"/>
      <c r="J66" s="23"/>
      <c r="K66" s="52"/>
      <c r="L66" s="23"/>
      <c r="M66" s="23"/>
      <c r="N66" s="23"/>
      <c r="O66" s="23"/>
      <c r="P66" s="52"/>
      <c r="Q66" s="23"/>
      <c r="R66" s="23"/>
      <c r="S66" s="23"/>
      <c r="T66" s="23"/>
      <c r="U66" s="52"/>
      <c r="V66" s="23"/>
    </row>
    <row r="67" spans="2:22" ht="15">
      <c r="B67" s="23"/>
      <c r="C67" s="52"/>
      <c r="D67" s="23"/>
      <c r="E67" s="50"/>
      <c r="F67" s="52"/>
      <c r="G67" s="23"/>
      <c r="H67" s="23"/>
      <c r="I67" s="23"/>
      <c r="J67" s="23"/>
      <c r="K67" s="52"/>
      <c r="L67" s="23"/>
      <c r="M67" s="23"/>
      <c r="N67" s="23"/>
      <c r="O67" s="23"/>
      <c r="P67" s="52"/>
      <c r="Q67" s="23"/>
      <c r="R67" s="23"/>
      <c r="S67" s="23"/>
      <c r="T67" s="23"/>
      <c r="U67" s="52"/>
      <c r="V67" s="23"/>
    </row>
  </sheetData>
  <sheetProtection selectLockedCells="1" selectUnlockedCells="1"/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51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B23"/>
  <sheetViews>
    <sheetView view="pageBreakPreview" zoomScale="120" zoomScaleNormal="85" zoomScaleSheetLayoutView="12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140625" defaultRowHeight="15"/>
  <cols>
    <col min="1" max="1" width="50.28125" style="24" customWidth="1"/>
    <col min="2" max="2" width="9.8515625" style="56" customWidth="1"/>
    <col min="3" max="4" width="9.8515625" style="42" customWidth="1"/>
    <col min="5" max="5" width="9.8515625" style="56" customWidth="1"/>
    <col min="6" max="9" width="9.8515625" style="42" customWidth="1"/>
    <col min="10" max="10" width="9.8515625" style="56" customWidth="1"/>
    <col min="11" max="13" width="9.8515625" style="42" customWidth="1"/>
    <col min="14" max="14" width="9.8515625" style="55" customWidth="1"/>
    <col min="15" max="15" width="9.8515625" style="56" customWidth="1"/>
    <col min="16" max="18" width="9.8515625" style="42" customWidth="1"/>
    <col min="19" max="19" width="9.8515625" style="55" customWidth="1"/>
    <col min="20" max="20" width="9.8515625" style="56" customWidth="1"/>
    <col min="21" max="21" width="9.8515625" style="42" customWidth="1"/>
    <col min="22" max="22" width="6.7109375" style="23" customWidth="1"/>
    <col min="23" max="23" width="9.140625" style="24" customWidth="1"/>
    <col min="24" max="24" width="9.140625" style="61" customWidth="1"/>
    <col min="25" max="25" width="9.140625" style="63" customWidth="1"/>
    <col min="26" max="28" width="9.140625" style="24" customWidth="1"/>
    <col min="29" max="29" width="9.140625" style="61" customWidth="1"/>
    <col min="30" max="16384" width="9.140625" style="24" customWidth="1"/>
  </cols>
  <sheetData>
    <row r="1" spans="1:29" ht="26.25" customHeight="1">
      <c r="A1" s="35" t="s">
        <v>65</v>
      </c>
      <c r="B1" s="53"/>
      <c r="C1" s="21"/>
      <c r="D1" s="21"/>
      <c r="E1" s="53"/>
      <c r="F1" s="21"/>
      <c r="G1" s="21"/>
      <c r="H1" s="25"/>
      <c r="I1" s="25"/>
      <c r="J1" s="54"/>
      <c r="K1" s="25"/>
      <c r="L1" s="25"/>
      <c r="M1" s="25"/>
      <c r="N1" s="51"/>
      <c r="O1" s="54"/>
      <c r="P1" s="25"/>
      <c r="Q1" s="25"/>
      <c r="R1" s="25"/>
      <c r="S1" s="51"/>
      <c r="T1" s="54"/>
      <c r="U1" s="25"/>
      <c r="V1" s="46"/>
      <c r="W1" s="46"/>
      <c r="X1" s="62"/>
      <c r="Y1" s="64"/>
      <c r="Z1" s="46"/>
      <c r="AA1" s="46"/>
      <c r="AB1" s="46"/>
      <c r="AC1" s="62"/>
    </row>
    <row r="2" spans="1:31" ht="15">
      <c r="A2" s="36" t="s">
        <v>48</v>
      </c>
      <c r="B2" s="200" t="s">
        <v>27</v>
      </c>
      <c r="C2" s="200"/>
      <c r="D2" s="200"/>
      <c r="E2" s="324" t="s">
        <v>28</v>
      </c>
      <c r="F2" s="325"/>
      <c r="G2" s="325"/>
      <c r="H2" s="325"/>
      <c r="I2" s="326"/>
      <c r="J2" s="200" t="s">
        <v>29</v>
      </c>
      <c r="K2" s="200"/>
      <c r="L2" s="200"/>
      <c r="M2" s="200"/>
      <c r="N2" s="200"/>
      <c r="O2" s="322" t="s">
        <v>30</v>
      </c>
      <c r="P2" s="323"/>
      <c r="Q2" s="323"/>
      <c r="R2" s="323"/>
      <c r="S2" s="323"/>
      <c r="T2" s="324" t="s">
        <v>31</v>
      </c>
      <c r="U2" s="325"/>
      <c r="V2" s="325"/>
      <c r="W2" s="325"/>
      <c r="X2" s="326"/>
      <c r="Y2" s="324" t="s">
        <v>76</v>
      </c>
      <c r="Z2" s="325"/>
      <c r="AA2" s="325"/>
      <c r="AB2" s="325"/>
      <c r="AC2" s="326"/>
      <c r="AD2" s="200" t="s">
        <v>88</v>
      </c>
      <c r="AE2" s="199"/>
    </row>
    <row r="3" spans="2:31" ht="16.5" customHeight="1">
      <c r="B3" s="218">
        <v>1</v>
      </c>
      <c r="C3" s="218">
        <v>2</v>
      </c>
      <c r="D3" s="218">
        <v>3</v>
      </c>
      <c r="E3" s="219">
        <v>4</v>
      </c>
      <c r="F3" s="219">
        <v>5</v>
      </c>
      <c r="G3" s="219">
        <v>6</v>
      </c>
      <c r="H3" s="219">
        <v>7</v>
      </c>
      <c r="I3" s="219">
        <v>8</v>
      </c>
      <c r="J3" s="218">
        <v>9</v>
      </c>
      <c r="K3" s="218">
        <v>10</v>
      </c>
      <c r="L3" s="218">
        <v>11</v>
      </c>
      <c r="M3" s="218">
        <v>12</v>
      </c>
      <c r="N3" s="218">
        <v>13</v>
      </c>
      <c r="O3" s="219">
        <v>14</v>
      </c>
      <c r="P3" s="219">
        <v>15</v>
      </c>
      <c r="Q3" s="219">
        <v>16</v>
      </c>
      <c r="R3" s="219">
        <v>17</v>
      </c>
      <c r="S3" s="219">
        <v>18</v>
      </c>
      <c r="T3" s="218">
        <v>19</v>
      </c>
      <c r="U3" s="218">
        <v>20</v>
      </c>
      <c r="V3" s="218">
        <v>21</v>
      </c>
      <c r="W3" s="218">
        <v>22</v>
      </c>
      <c r="X3" s="218">
        <v>23</v>
      </c>
      <c r="Y3" s="219">
        <v>24</v>
      </c>
      <c r="Z3" s="219">
        <v>25</v>
      </c>
      <c r="AA3" s="219">
        <v>26</v>
      </c>
      <c r="AB3" s="219">
        <v>27</v>
      </c>
      <c r="AC3" s="219">
        <v>28</v>
      </c>
      <c r="AD3" s="218">
        <v>29</v>
      </c>
      <c r="AE3" s="218">
        <v>30</v>
      </c>
    </row>
    <row r="4" spans="1:32" s="75" customFormat="1" ht="21" customHeight="1">
      <c r="A4" s="70" t="s">
        <v>128</v>
      </c>
      <c r="B4" s="71"/>
      <c r="C4" s="72"/>
      <c r="D4" s="72"/>
      <c r="E4" s="72"/>
      <c r="F4" s="71"/>
      <c r="G4" s="71"/>
      <c r="H4" s="71"/>
      <c r="I4" s="71"/>
      <c r="J4" s="71"/>
      <c r="K4" s="72"/>
      <c r="L4" s="72"/>
      <c r="M4" s="72"/>
      <c r="N4" s="72"/>
      <c r="O4" s="72"/>
      <c r="P4" s="71"/>
      <c r="Q4" s="71"/>
      <c r="R4" s="71"/>
      <c r="S4" s="71"/>
      <c r="T4" s="71"/>
      <c r="U4" s="72"/>
      <c r="V4" s="72"/>
      <c r="W4" s="73"/>
      <c r="X4" s="74"/>
      <c r="Y4" s="74"/>
      <c r="Z4" s="74"/>
      <c r="AA4" s="74"/>
      <c r="AB4" s="74"/>
      <c r="AC4" s="74"/>
      <c r="AD4" s="74"/>
      <c r="AE4" s="74"/>
      <c r="AF4" s="74"/>
    </row>
    <row r="5" spans="1:29" ht="16.5" customHeight="1">
      <c r="A5" s="203" t="s">
        <v>58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6"/>
      <c r="W5" s="46"/>
      <c r="X5" s="46"/>
      <c r="Y5" s="46"/>
      <c r="Z5" s="46"/>
      <c r="AA5" s="46"/>
      <c r="AB5" s="46"/>
      <c r="AC5" s="46"/>
    </row>
    <row r="6" spans="1:31" ht="15.75" customHeight="1">
      <c r="A6" s="205" t="s">
        <v>79</v>
      </c>
      <c r="B6" s="209">
        <v>10</v>
      </c>
      <c r="C6" s="128"/>
      <c r="D6" s="128"/>
      <c r="E6" s="206">
        <v>10</v>
      </c>
      <c r="F6" s="128"/>
      <c r="G6" s="128"/>
      <c r="H6" s="128"/>
      <c r="I6" s="128"/>
      <c r="J6" s="206">
        <v>10</v>
      </c>
      <c r="K6" s="128"/>
      <c r="L6" s="128"/>
      <c r="M6" s="128"/>
      <c r="N6" s="128"/>
      <c r="O6" s="206">
        <v>10</v>
      </c>
      <c r="P6" s="128"/>
      <c r="Q6" s="128"/>
      <c r="R6" s="128"/>
      <c r="S6" s="128"/>
      <c r="T6" s="206"/>
      <c r="U6" s="128"/>
      <c r="V6" s="129"/>
      <c r="W6" s="129"/>
      <c r="X6" s="129"/>
      <c r="Y6" s="206"/>
      <c r="Z6" s="129"/>
      <c r="AA6" s="129"/>
      <c r="AB6" s="129"/>
      <c r="AC6" s="129"/>
      <c r="AD6" s="206"/>
      <c r="AE6" s="90"/>
    </row>
    <row r="7" spans="1:29" ht="18" customHeight="1">
      <c r="A7" s="207" t="s">
        <v>57</v>
      </c>
      <c r="B7" s="210">
        <v>0.05</v>
      </c>
      <c r="C7" s="38"/>
      <c r="D7" s="38"/>
      <c r="E7" s="102"/>
      <c r="F7" s="38"/>
      <c r="G7" s="38"/>
      <c r="H7" s="38"/>
      <c r="I7" s="38"/>
      <c r="J7" s="102"/>
      <c r="K7" s="38"/>
      <c r="L7" s="38"/>
      <c r="M7" s="38"/>
      <c r="N7" s="38"/>
      <c r="O7" s="102"/>
      <c r="P7" s="38"/>
      <c r="Q7" s="38"/>
      <c r="R7" s="38"/>
      <c r="S7" s="38"/>
      <c r="T7" s="102"/>
      <c r="U7" s="38"/>
      <c r="V7" s="46"/>
      <c r="W7" s="46"/>
      <c r="X7" s="46"/>
      <c r="Y7" s="46"/>
      <c r="Z7" s="46"/>
      <c r="AA7" s="46"/>
      <c r="AB7" s="46"/>
      <c r="AC7" s="46"/>
    </row>
    <row r="8" spans="1:29" ht="32.25" customHeight="1">
      <c r="A8" s="207" t="s">
        <v>41</v>
      </c>
      <c r="B8" s="211">
        <v>0.1</v>
      </c>
      <c r="C8" s="211">
        <v>0.1</v>
      </c>
      <c r="D8" s="211">
        <v>0.1</v>
      </c>
      <c r="E8" s="103"/>
      <c r="F8" s="3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46"/>
      <c r="W8" s="46"/>
      <c r="X8" s="46"/>
      <c r="Y8" s="46"/>
      <c r="Z8" s="46"/>
      <c r="AA8" s="46"/>
      <c r="AB8" s="46"/>
      <c r="AC8" s="46"/>
    </row>
    <row r="9" spans="1:31" ht="18.75" customHeight="1">
      <c r="A9" s="207" t="s">
        <v>40</v>
      </c>
      <c r="B9" s="212">
        <v>0.18</v>
      </c>
      <c r="C9" s="236">
        <v>0.18</v>
      </c>
      <c r="D9" s="236">
        <v>0.18</v>
      </c>
      <c r="E9" s="236">
        <v>0.18</v>
      </c>
      <c r="F9" s="236">
        <v>0.18</v>
      </c>
      <c r="G9" s="236">
        <v>0.18</v>
      </c>
      <c r="H9" s="236">
        <v>0.18</v>
      </c>
      <c r="I9" s="236">
        <v>0.18</v>
      </c>
      <c r="J9" s="236">
        <v>0.18</v>
      </c>
      <c r="K9" s="236">
        <v>0.18</v>
      </c>
      <c r="L9" s="236">
        <v>0.18</v>
      </c>
      <c r="M9" s="236">
        <v>0.18</v>
      </c>
      <c r="N9" s="236">
        <v>0.18</v>
      </c>
      <c r="O9" s="236">
        <v>0.18</v>
      </c>
      <c r="P9" s="236">
        <v>0.18</v>
      </c>
      <c r="Q9" s="236">
        <v>0.18</v>
      </c>
      <c r="R9" s="236">
        <v>0.18</v>
      </c>
      <c r="S9" s="236">
        <v>0.18</v>
      </c>
      <c r="T9" s="236">
        <v>0.18</v>
      </c>
      <c r="U9" s="236">
        <v>0.18</v>
      </c>
      <c r="V9" s="236">
        <v>0.18</v>
      </c>
      <c r="W9" s="236">
        <v>0.18</v>
      </c>
      <c r="X9" s="236">
        <v>0.18</v>
      </c>
      <c r="Y9" s="236">
        <v>0.18</v>
      </c>
      <c r="Z9" s="236">
        <v>0.18</v>
      </c>
      <c r="AA9" s="236">
        <v>0.18</v>
      </c>
      <c r="AB9" s="236">
        <v>0.18</v>
      </c>
      <c r="AC9" s="236">
        <v>0.18</v>
      </c>
      <c r="AD9" s="236">
        <v>0.18</v>
      </c>
      <c r="AE9" s="236">
        <v>0.18</v>
      </c>
    </row>
    <row r="10" spans="1:31" ht="18" customHeight="1">
      <c r="A10" s="207" t="s">
        <v>66</v>
      </c>
      <c r="B10" s="211">
        <v>0.1</v>
      </c>
      <c r="C10" s="239">
        <v>0.1</v>
      </c>
      <c r="D10" s="239">
        <v>0.1</v>
      </c>
      <c r="E10" s="239">
        <v>0.1</v>
      </c>
      <c r="F10" s="239">
        <v>0.1</v>
      </c>
      <c r="G10" s="239">
        <v>0.1</v>
      </c>
      <c r="H10" s="239">
        <v>0.1</v>
      </c>
      <c r="I10" s="239">
        <v>0.1</v>
      </c>
      <c r="J10" s="239">
        <v>0.1</v>
      </c>
      <c r="K10" s="239">
        <v>0.1</v>
      </c>
      <c r="L10" s="239">
        <v>0.1</v>
      </c>
      <c r="M10" s="239">
        <v>0.1</v>
      </c>
      <c r="N10" s="239">
        <v>0.1</v>
      </c>
      <c r="O10" s="239">
        <v>0.1</v>
      </c>
      <c r="P10" s="239">
        <v>0.1</v>
      </c>
      <c r="Q10" s="239">
        <v>0.1</v>
      </c>
      <c r="R10" s="239">
        <v>0.1</v>
      </c>
      <c r="S10" s="239">
        <v>0.1</v>
      </c>
      <c r="T10" s="239">
        <v>0.1</v>
      </c>
      <c r="U10" s="239">
        <v>0.1</v>
      </c>
      <c r="V10" s="239">
        <v>0.1</v>
      </c>
      <c r="W10" s="239">
        <v>0.1</v>
      </c>
      <c r="X10" s="239">
        <v>0.1</v>
      </c>
      <c r="Y10" s="239">
        <v>0.1</v>
      </c>
      <c r="Z10" s="239">
        <v>0.1</v>
      </c>
      <c r="AA10" s="239">
        <v>0.1</v>
      </c>
      <c r="AB10" s="239">
        <v>0.1</v>
      </c>
      <c r="AC10" s="239">
        <v>0.1</v>
      </c>
      <c r="AD10" s="239">
        <v>0.1</v>
      </c>
      <c r="AE10" s="239">
        <v>0.1</v>
      </c>
    </row>
    <row r="11" spans="1:31" ht="37.5" customHeight="1">
      <c r="A11" s="207" t="s">
        <v>155</v>
      </c>
      <c r="B11" s="212">
        <v>0.14</v>
      </c>
      <c r="C11" s="212">
        <v>0.13</v>
      </c>
      <c r="D11" s="212">
        <v>0.13</v>
      </c>
      <c r="E11" s="212">
        <v>0.13</v>
      </c>
      <c r="F11" s="212">
        <v>0.13</v>
      </c>
      <c r="G11" s="212">
        <v>0.13</v>
      </c>
      <c r="H11" s="212">
        <v>0.13</v>
      </c>
      <c r="I11" s="212">
        <v>0.13</v>
      </c>
      <c r="J11" s="212">
        <v>0.13</v>
      </c>
      <c r="K11" s="212">
        <v>0.13</v>
      </c>
      <c r="L11" s="212">
        <v>0.13</v>
      </c>
      <c r="M11" s="212">
        <v>0.13</v>
      </c>
      <c r="N11" s="212">
        <v>0.13</v>
      </c>
      <c r="O11" s="212">
        <v>0.13</v>
      </c>
      <c r="P11" s="212">
        <v>0.13</v>
      </c>
      <c r="Q11" s="212">
        <v>0.13</v>
      </c>
      <c r="R11" s="212">
        <v>0.13</v>
      </c>
      <c r="S11" s="212">
        <v>0.13</v>
      </c>
      <c r="T11" s="212">
        <v>0.13</v>
      </c>
      <c r="U11" s="212">
        <v>0.13</v>
      </c>
      <c r="V11" s="212">
        <v>0.13</v>
      </c>
      <c r="W11" s="212">
        <v>0.13</v>
      </c>
      <c r="X11" s="212">
        <v>0.13</v>
      </c>
      <c r="Y11" s="212">
        <v>0.13</v>
      </c>
      <c r="Z11" s="212">
        <v>0.13</v>
      </c>
      <c r="AA11" s="212">
        <v>0.13</v>
      </c>
      <c r="AB11" s="212">
        <v>0.13</v>
      </c>
      <c r="AC11" s="212">
        <v>0.13</v>
      </c>
      <c r="AD11" s="212">
        <v>0.13</v>
      </c>
      <c r="AE11" s="212">
        <v>0.13</v>
      </c>
    </row>
    <row r="12" spans="1:31" ht="48" customHeight="1">
      <c r="A12" s="207" t="s">
        <v>156</v>
      </c>
      <c r="B12" s="213">
        <v>2</v>
      </c>
      <c r="C12" s="213">
        <v>2</v>
      </c>
      <c r="D12" s="213">
        <v>2</v>
      </c>
      <c r="E12" s="213">
        <v>2</v>
      </c>
      <c r="F12" s="213">
        <v>2</v>
      </c>
      <c r="G12" s="213">
        <v>2</v>
      </c>
      <c r="H12" s="213">
        <v>2</v>
      </c>
      <c r="I12" s="213">
        <v>2</v>
      </c>
      <c r="J12" s="213">
        <v>2</v>
      </c>
      <c r="K12" s="213">
        <v>2</v>
      </c>
      <c r="L12" s="213">
        <v>2</v>
      </c>
      <c r="M12" s="213">
        <v>2</v>
      </c>
      <c r="N12" s="213">
        <v>2</v>
      </c>
      <c r="O12" s="213">
        <v>2</v>
      </c>
      <c r="P12" s="213">
        <v>2</v>
      </c>
      <c r="Q12" s="213">
        <v>2</v>
      </c>
      <c r="R12" s="213">
        <v>2</v>
      </c>
      <c r="S12" s="213">
        <v>2</v>
      </c>
      <c r="T12" s="213">
        <v>2</v>
      </c>
      <c r="U12" s="213">
        <v>2</v>
      </c>
      <c r="V12" s="213">
        <v>2</v>
      </c>
      <c r="W12" s="213">
        <v>2</v>
      </c>
      <c r="X12" s="213">
        <v>2</v>
      </c>
      <c r="Y12" s="213">
        <v>2</v>
      </c>
      <c r="Z12" s="213">
        <v>2</v>
      </c>
      <c r="AA12" s="213">
        <v>2</v>
      </c>
      <c r="AB12" s="213">
        <v>2</v>
      </c>
      <c r="AC12" s="213">
        <v>2</v>
      </c>
      <c r="AD12" s="213">
        <v>2</v>
      </c>
      <c r="AE12" s="213">
        <v>2</v>
      </c>
    </row>
    <row r="13" spans="1:54" ht="48" customHeight="1">
      <c r="A13" s="159" t="s">
        <v>157</v>
      </c>
      <c r="B13" s="214">
        <v>5</v>
      </c>
      <c r="C13" s="214">
        <v>5</v>
      </c>
      <c r="D13" s="214">
        <v>5</v>
      </c>
      <c r="E13" s="214">
        <v>5</v>
      </c>
      <c r="F13" s="214">
        <v>5</v>
      </c>
      <c r="G13" s="214">
        <v>5</v>
      </c>
      <c r="H13" s="214">
        <v>5</v>
      </c>
      <c r="I13" s="214">
        <v>5</v>
      </c>
      <c r="J13" s="214">
        <v>5</v>
      </c>
      <c r="K13" s="214">
        <v>5</v>
      </c>
      <c r="L13" s="214">
        <v>5</v>
      </c>
      <c r="M13" s="214">
        <v>5</v>
      </c>
      <c r="N13" s="214">
        <v>5</v>
      </c>
      <c r="O13" s="214">
        <v>5</v>
      </c>
      <c r="P13" s="214">
        <v>5</v>
      </c>
      <c r="Q13" s="214">
        <v>5</v>
      </c>
      <c r="R13" s="214">
        <v>5</v>
      </c>
      <c r="S13" s="214">
        <v>5</v>
      </c>
      <c r="T13" s="214">
        <v>5</v>
      </c>
      <c r="U13" s="214">
        <v>5</v>
      </c>
      <c r="V13" s="214">
        <v>5</v>
      </c>
      <c r="W13" s="214">
        <v>5</v>
      </c>
      <c r="X13" s="214">
        <v>5</v>
      </c>
      <c r="Y13" s="214">
        <v>5</v>
      </c>
      <c r="Z13" s="214">
        <v>5</v>
      </c>
      <c r="AA13" s="214">
        <v>5</v>
      </c>
      <c r="AB13" s="214">
        <v>5</v>
      </c>
      <c r="AC13" s="214">
        <v>5</v>
      </c>
      <c r="AD13" s="214">
        <v>5</v>
      </c>
      <c r="AE13" s="214">
        <v>5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29" s="48" customFormat="1" ht="15">
      <c r="A14" s="204" t="s">
        <v>63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</row>
    <row r="15" spans="1:31" ht="60">
      <c r="A15" s="207" t="s">
        <v>78</v>
      </c>
      <c r="B15" s="158">
        <v>200</v>
      </c>
      <c r="C15" s="158">
        <v>200</v>
      </c>
      <c r="D15" s="158">
        <v>200</v>
      </c>
      <c r="E15" s="158">
        <v>200</v>
      </c>
      <c r="F15" s="158">
        <v>200</v>
      </c>
      <c r="G15" s="158">
        <v>200</v>
      </c>
      <c r="H15" s="158">
        <v>200</v>
      </c>
      <c r="I15" s="158">
        <v>200</v>
      </c>
      <c r="J15" s="158">
        <v>200</v>
      </c>
      <c r="K15" s="158">
        <v>200</v>
      </c>
      <c r="L15" s="244">
        <v>300</v>
      </c>
      <c r="M15" s="244">
        <v>400</v>
      </c>
      <c r="N15" s="244">
        <v>500</v>
      </c>
      <c r="O15" s="244">
        <v>600</v>
      </c>
      <c r="P15" s="244">
        <v>700</v>
      </c>
      <c r="Q15" s="244">
        <v>800</v>
      </c>
      <c r="R15" s="244">
        <v>900</v>
      </c>
      <c r="S15" s="244">
        <v>1000</v>
      </c>
      <c r="T15" s="244">
        <v>1100</v>
      </c>
      <c r="U15" s="244">
        <v>1200</v>
      </c>
      <c r="V15" s="244">
        <v>1300</v>
      </c>
      <c r="W15" s="244">
        <v>1400</v>
      </c>
      <c r="X15" s="244">
        <v>1500</v>
      </c>
      <c r="Y15" s="244">
        <v>1600</v>
      </c>
      <c r="Z15" s="244">
        <v>1700</v>
      </c>
      <c r="AA15" s="244">
        <v>1800</v>
      </c>
      <c r="AB15" s="244">
        <v>1900</v>
      </c>
      <c r="AC15" s="244">
        <v>2000</v>
      </c>
      <c r="AD15" s="244">
        <v>2100</v>
      </c>
      <c r="AE15" s="244">
        <v>2200</v>
      </c>
    </row>
    <row r="16" spans="1:31" ht="45">
      <c r="A16" s="208" t="s">
        <v>81</v>
      </c>
      <c r="B16" s="215">
        <v>10</v>
      </c>
      <c r="C16" s="215">
        <v>10</v>
      </c>
      <c r="D16" s="215">
        <v>10</v>
      </c>
      <c r="E16" s="215">
        <v>10</v>
      </c>
      <c r="F16" s="215">
        <v>10</v>
      </c>
      <c r="G16" s="215">
        <v>10</v>
      </c>
      <c r="H16" s="215">
        <v>10</v>
      </c>
      <c r="I16" s="215">
        <v>10</v>
      </c>
      <c r="J16" s="215">
        <v>10</v>
      </c>
      <c r="K16" s="215">
        <v>10</v>
      </c>
      <c r="L16" s="215">
        <v>10</v>
      </c>
      <c r="M16" s="215">
        <v>10</v>
      </c>
      <c r="N16" s="215">
        <v>10</v>
      </c>
      <c r="O16" s="215">
        <v>10</v>
      </c>
      <c r="P16" s="215">
        <v>10</v>
      </c>
      <c r="Q16" s="215">
        <v>10</v>
      </c>
      <c r="R16" s="215">
        <v>10</v>
      </c>
      <c r="S16" s="215">
        <v>10</v>
      </c>
      <c r="T16" s="215">
        <v>10</v>
      </c>
      <c r="U16" s="215">
        <v>10</v>
      </c>
      <c r="V16" s="215">
        <v>10</v>
      </c>
      <c r="W16" s="215">
        <v>10</v>
      </c>
      <c r="X16" s="215">
        <v>10</v>
      </c>
      <c r="Y16" s="215">
        <v>10</v>
      </c>
      <c r="Z16" s="215">
        <v>10</v>
      </c>
      <c r="AA16" s="215">
        <v>10</v>
      </c>
      <c r="AB16" s="215">
        <v>10</v>
      </c>
      <c r="AC16" s="215">
        <v>10</v>
      </c>
      <c r="AD16" s="215">
        <v>10</v>
      </c>
      <c r="AE16" s="215">
        <v>10</v>
      </c>
    </row>
    <row r="17" spans="1:31" s="238" customFormat="1" ht="46.5" customHeight="1">
      <c r="A17" s="245" t="s">
        <v>80</v>
      </c>
      <c r="B17" s="243">
        <v>70</v>
      </c>
      <c r="C17" s="243">
        <v>70</v>
      </c>
      <c r="D17" s="243">
        <v>70</v>
      </c>
      <c r="E17" s="243">
        <v>70</v>
      </c>
      <c r="F17" s="243">
        <v>70</v>
      </c>
      <c r="G17" s="243">
        <v>70</v>
      </c>
      <c r="H17" s="243">
        <v>70</v>
      </c>
      <c r="I17" s="243">
        <v>70</v>
      </c>
      <c r="J17" s="243">
        <v>70</v>
      </c>
      <c r="K17" s="243">
        <v>70</v>
      </c>
      <c r="L17" s="243">
        <v>70</v>
      </c>
      <c r="M17" s="243">
        <v>70</v>
      </c>
      <c r="N17" s="243">
        <v>70</v>
      </c>
      <c r="O17" s="243">
        <v>70</v>
      </c>
      <c r="P17" s="243">
        <v>70</v>
      </c>
      <c r="Q17" s="243">
        <v>70</v>
      </c>
      <c r="R17" s="243">
        <v>70</v>
      </c>
      <c r="S17" s="243">
        <v>70</v>
      </c>
      <c r="T17" s="243">
        <v>70</v>
      </c>
      <c r="U17" s="243">
        <v>70</v>
      </c>
      <c r="V17" s="243">
        <v>70</v>
      </c>
      <c r="W17" s="243">
        <v>70</v>
      </c>
      <c r="X17" s="243">
        <v>70</v>
      </c>
      <c r="Y17" s="243">
        <v>70</v>
      </c>
      <c r="Z17" s="243">
        <v>70</v>
      </c>
      <c r="AA17" s="243">
        <v>70</v>
      </c>
      <c r="AB17" s="243">
        <v>70</v>
      </c>
      <c r="AC17" s="243">
        <v>70</v>
      </c>
      <c r="AD17" s="243">
        <v>70</v>
      </c>
      <c r="AE17" s="243">
        <v>70</v>
      </c>
    </row>
    <row r="18" spans="1:31" ht="64.5" customHeight="1">
      <c r="A18" s="242" t="s">
        <v>158</v>
      </c>
      <c r="B18" s="240">
        <v>10</v>
      </c>
      <c r="C18" s="240">
        <v>10</v>
      </c>
      <c r="D18" s="240">
        <v>10</v>
      </c>
      <c r="E18" s="240">
        <v>10</v>
      </c>
      <c r="F18" s="240">
        <v>10</v>
      </c>
      <c r="G18" s="240">
        <v>10</v>
      </c>
      <c r="H18" s="240">
        <v>10</v>
      </c>
      <c r="I18" s="240">
        <v>10</v>
      </c>
      <c r="J18" s="240">
        <v>10</v>
      </c>
      <c r="K18" s="240">
        <v>10</v>
      </c>
      <c r="L18" s="240">
        <v>10</v>
      </c>
      <c r="M18" s="240">
        <v>10</v>
      </c>
      <c r="N18" s="240">
        <v>10</v>
      </c>
      <c r="O18" s="240">
        <v>10</v>
      </c>
      <c r="P18" s="240">
        <v>10</v>
      </c>
      <c r="Q18" s="240">
        <v>10</v>
      </c>
      <c r="R18" s="240">
        <v>10</v>
      </c>
      <c r="S18" s="240">
        <v>10</v>
      </c>
      <c r="T18" s="240">
        <v>10</v>
      </c>
      <c r="U18" s="240">
        <v>10</v>
      </c>
      <c r="V18" s="240">
        <v>10</v>
      </c>
      <c r="W18" s="240">
        <v>10</v>
      </c>
      <c r="X18" s="240">
        <v>10</v>
      </c>
      <c r="Y18" s="240">
        <v>10</v>
      </c>
      <c r="Z18" s="240">
        <v>10</v>
      </c>
      <c r="AA18" s="240">
        <v>10</v>
      </c>
      <c r="AB18" s="240">
        <v>10</v>
      </c>
      <c r="AC18" s="240">
        <v>10</v>
      </c>
      <c r="AD18" s="240">
        <v>10</v>
      </c>
      <c r="AE18" s="241">
        <v>10</v>
      </c>
    </row>
    <row r="19" spans="1:31" ht="79.5" customHeight="1">
      <c r="A19" s="208" t="s">
        <v>82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6"/>
      <c r="W19" s="216"/>
      <c r="X19" s="216"/>
      <c r="Y19" s="216"/>
      <c r="Z19" s="216"/>
      <c r="AA19" s="216"/>
      <c r="AB19" s="216"/>
      <c r="AC19" s="216"/>
      <c r="AD19" s="217"/>
      <c r="AE19" s="217"/>
    </row>
    <row r="20" spans="2:29" ht="15">
      <c r="B20" s="52"/>
      <c r="C20" s="23"/>
      <c r="D20" s="23"/>
      <c r="E20" s="52"/>
      <c r="F20" s="23"/>
      <c r="G20" s="23"/>
      <c r="H20" s="23"/>
      <c r="I20" s="23"/>
      <c r="J20" s="52"/>
      <c r="K20" s="23"/>
      <c r="L20" s="23"/>
      <c r="M20" s="23"/>
      <c r="N20" s="50"/>
      <c r="O20" s="52"/>
      <c r="P20" s="23"/>
      <c r="Q20" s="23"/>
      <c r="R20" s="23"/>
      <c r="S20" s="50"/>
      <c r="T20" s="52"/>
      <c r="U20" s="23"/>
      <c r="V20" s="46"/>
      <c r="W20" s="46"/>
      <c r="X20" s="62"/>
      <c r="Y20" s="64"/>
      <c r="Z20" s="46"/>
      <c r="AA20" s="46"/>
      <c r="AB20" s="46"/>
      <c r="AC20" s="62"/>
    </row>
    <row r="21" spans="2:29" ht="15">
      <c r="B21" s="52"/>
      <c r="C21" s="23"/>
      <c r="D21" s="23"/>
      <c r="E21" s="52"/>
      <c r="F21" s="23"/>
      <c r="G21" s="23"/>
      <c r="H21" s="23"/>
      <c r="I21" s="23"/>
      <c r="J21" s="52"/>
      <c r="K21" s="23"/>
      <c r="L21" s="23"/>
      <c r="M21" s="23"/>
      <c r="N21" s="50"/>
      <c r="O21" s="52"/>
      <c r="P21" s="23"/>
      <c r="Q21" s="23"/>
      <c r="R21" s="23"/>
      <c r="S21" s="50"/>
      <c r="T21" s="52"/>
      <c r="U21" s="23"/>
      <c r="V21" s="46"/>
      <c r="W21" s="46"/>
      <c r="X21" s="62"/>
      <c r="Y21" s="64"/>
      <c r="Z21" s="46"/>
      <c r="AA21" s="46"/>
      <c r="AB21" s="46"/>
      <c r="AC21" s="62"/>
    </row>
    <row r="22" spans="1:54" s="23" customFormat="1" ht="15">
      <c r="A22" s="24"/>
      <c r="B22" s="52"/>
      <c r="E22" s="52"/>
      <c r="J22" s="52"/>
      <c r="N22" s="50"/>
      <c r="O22" s="52"/>
      <c r="S22" s="50"/>
      <c r="T22" s="52"/>
      <c r="W22" s="24"/>
      <c r="X22" s="61"/>
      <c r="Y22" s="63"/>
      <c r="Z22" s="24"/>
      <c r="AA22" s="24"/>
      <c r="AB22" s="24"/>
      <c r="AC22" s="61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3" customFormat="1" ht="15">
      <c r="A23" s="24"/>
      <c r="B23" s="52"/>
      <c r="E23" s="52"/>
      <c r="J23" s="52"/>
      <c r="N23" s="50"/>
      <c r="O23" s="52"/>
      <c r="S23" s="50"/>
      <c r="T23" s="52"/>
      <c r="W23" s="24"/>
      <c r="X23" s="61"/>
      <c r="Y23" s="63"/>
      <c r="Z23" s="24"/>
      <c r="AA23" s="24"/>
      <c r="AB23" s="24"/>
      <c r="AC23" s="61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</sheetData>
  <sheetProtection insertColumns="0" insertRows="0" insertHyperlinks="0" deleteColumns="0" deleteRows="0" selectLockedCells="1" pivotTables="0" selectUnlockedCells="1"/>
  <mergeCells count="4">
    <mergeCell ref="O2:S2"/>
    <mergeCell ref="T2:X2"/>
    <mergeCell ref="Y2:AC2"/>
    <mergeCell ref="E2:I2"/>
  </mergeCells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51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zoomScaleSheetLayoutView="120" zoomScalePageLayoutView="0" workbookViewId="0" topLeftCell="A1">
      <pane xSplit="1" ySplit="5" topLeftCell="B7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0" sqref="A90"/>
    </sheetView>
  </sheetViews>
  <sheetFormatPr defaultColWidth="9.140625" defaultRowHeight="15"/>
  <cols>
    <col min="1" max="1" width="40.421875" style="3" customWidth="1"/>
    <col min="2" max="2" width="12.00390625" style="19" customWidth="1"/>
    <col min="3" max="3" width="13.28125" style="19" customWidth="1"/>
    <col min="4" max="4" width="11.8515625" style="19" customWidth="1"/>
    <col min="5" max="13" width="10.8515625" style="19" customWidth="1"/>
    <col min="14" max="14" width="11.57421875" style="19" customWidth="1"/>
    <col min="15" max="21" width="10.8515625" style="19" customWidth="1"/>
    <col min="22" max="22" width="10.28125" style="19" customWidth="1"/>
    <col min="23" max="23" width="9.28125" style="16" customWidth="1"/>
    <col min="24" max="25" width="9.140625" style="1" customWidth="1"/>
    <col min="26" max="26" width="9.140625" style="68" customWidth="1"/>
    <col min="27" max="30" width="9.140625" style="1" customWidth="1"/>
    <col min="31" max="31" width="9.140625" style="68" customWidth="1"/>
    <col min="32" max="16384" width="9.140625" style="1" customWidth="1"/>
  </cols>
  <sheetData>
    <row r="1" spans="1:22" ht="15" hidden="1">
      <c r="A1" s="2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hidden="1">
      <c r="A2" s="3" t="s">
        <v>24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5" hidden="1">
      <c r="A3" s="4" t="s">
        <v>25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38" ht="15">
      <c r="A4" s="4"/>
      <c r="B4" s="16"/>
      <c r="C4" s="104" t="s">
        <v>27</v>
      </c>
      <c r="D4" s="105"/>
      <c r="E4" s="105"/>
      <c r="F4" s="104" t="s">
        <v>28</v>
      </c>
      <c r="G4" s="105"/>
      <c r="H4" s="105"/>
      <c r="I4" s="105"/>
      <c r="J4" s="105"/>
      <c r="K4" s="104" t="s">
        <v>29</v>
      </c>
      <c r="L4" s="105"/>
      <c r="M4" s="105"/>
      <c r="N4" s="105"/>
      <c r="O4" s="105"/>
      <c r="P4" s="104" t="s">
        <v>30</v>
      </c>
      <c r="Q4" s="105"/>
      <c r="R4" s="105"/>
      <c r="S4" s="105"/>
      <c r="T4" s="105"/>
      <c r="U4" s="104" t="s">
        <v>31</v>
      </c>
      <c r="V4" s="105"/>
      <c r="W4" s="105"/>
      <c r="X4" s="106"/>
      <c r="Y4" s="106"/>
      <c r="Z4" s="104" t="s">
        <v>76</v>
      </c>
      <c r="AA4" s="106"/>
      <c r="AB4" s="106"/>
      <c r="AC4" s="106"/>
      <c r="AD4" s="106"/>
      <c r="AE4" s="104" t="s">
        <v>88</v>
      </c>
      <c r="AF4" s="106"/>
      <c r="AG4" s="3"/>
      <c r="AH4" s="3"/>
      <c r="AI4" s="3"/>
      <c r="AJ4" s="3"/>
      <c r="AK4" s="3"/>
      <c r="AL4" s="3"/>
    </row>
    <row r="5" spans="1:33" ht="18.75" customHeight="1">
      <c r="A5" s="69" t="s">
        <v>89</v>
      </c>
      <c r="B5" s="91">
        <v>0</v>
      </c>
      <c r="C5" s="118">
        <v>1</v>
      </c>
      <c r="D5" s="118">
        <v>2</v>
      </c>
      <c r="E5" s="118">
        <v>3</v>
      </c>
      <c r="F5" s="119">
        <v>4</v>
      </c>
      <c r="G5" s="120">
        <v>5</v>
      </c>
      <c r="H5" s="120">
        <v>6</v>
      </c>
      <c r="I5" s="120">
        <v>7</v>
      </c>
      <c r="J5" s="120">
        <v>8</v>
      </c>
      <c r="K5" s="121">
        <v>9</v>
      </c>
      <c r="L5" s="118">
        <v>10</v>
      </c>
      <c r="M5" s="118">
        <v>11</v>
      </c>
      <c r="N5" s="118">
        <v>12</v>
      </c>
      <c r="O5" s="118">
        <v>13</v>
      </c>
      <c r="P5" s="119">
        <v>14</v>
      </c>
      <c r="Q5" s="120">
        <v>15</v>
      </c>
      <c r="R5" s="120">
        <v>16</v>
      </c>
      <c r="S5" s="120">
        <v>17</v>
      </c>
      <c r="T5" s="120">
        <v>18</v>
      </c>
      <c r="U5" s="121">
        <v>19</v>
      </c>
      <c r="V5" s="118">
        <v>20</v>
      </c>
      <c r="W5" s="118">
        <v>21</v>
      </c>
      <c r="X5" s="118">
        <v>22</v>
      </c>
      <c r="Y5" s="118">
        <v>23</v>
      </c>
      <c r="Z5" s="119">
        <v>24</v>
      </c>
      <c r="AA5" s="120">
        <v>25</v>
      </c>
      <c r="AB5" s="120">
        <v>26</v>
      </c>
      <c r="AC5" s="120">
        <v>27</v>
      </c>
      <c r="AD5" s="120">
        <v>28</v>
      </c>
      <c r="AE5" s="121">
        <v>29</v>
      </c>
      <c r="AF5" s="118">
        <v>30</v>
      </c>
      <c r="AG5" s="1">
        <v>31</v>
      </c>
    </row>
    <row r="6" spans="1:32" s="268" customFormat="1" ht="18.75" customHeight="1">
      <c r="A6" s="269" t="s">
        <v>163</v>
      </c>
      <c r="B6" s="266"/>
      <c r="C6" s="267"/>
      <c r="D6" s="267"/>
      <c r="E6" s="267"/>
      <c r="F6" s="266"/>
      <c r="G6" s="266"/>
      <c r="H6" s="266"/>
      <c r="I6" s="266"/>
      <c r="J6" s="266"/>
      <c r="K6" s="267"/>
      <c r="L6" s="267"/>
      <c r="M6" s="267"/>
      <c r="N6" s="267"/>
      <c r="O6" s="267"/>
      <c r="P6" s="266"/>
      <c r="Q6" s="266"/>
      <c r="R6" s="266"/>
      <c r="S6" s="266"/>
      <c r="T6" s="266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</row>
    <row r="7" spans="1:55" s="238" customFormat="1" ht="121.5" customHeight="1">
      <c r="A7" s="159" t="s">
        <v>54</v>
      </c>
      <c r="B7" s="263">
        <v>1</v>
      </c>
      <c r="C7" s="264">
        <f>B7*(1+'конкурсная документация'!C18)</f>
        <v>1.07</v>
      </c>
      <c r="D7" s="264">
        <f>C7*(1+'конкурсная документация'!D18)</f>
        <v>1.1449</v>
      </c>
      <c r="E7" s="264">
        <f>D7*(1+'конкурсная документация'!E18)</f>
        <v>1.225043</v>
      </c>
      <c r="F7" s="264">
        <f>E7*(1+'конкурсная документация'!F18)</f>
        <v>1.3107960100000002</v>
      </c>
      <c r="G7" s="264">
        <f>F7*(1+'конкурсная документация'!G18)</f>
        <v>1.4025517307000004</v>
      </c>
      <c r="H7" s="264">
        <f>G7*(1+'конкурсная документация'!H18)</f>
        <v>1.5007303518490005</v>
      </c>
      <c r="I7" s="264">
        <f>H7*(1+'конкурсная документация'!I18)</f>
        <v>1.6057814764784306</v>
      </c>
      <c r="J7" s="264">
        <f>I7*(1+'конкурсная документация'!J18)</f>
        <v>1.718186179831921</v>
      </c>
      <c r="K7" s="264">
        <f>J7*(1+'конкурсная документация'!K18)</f>
        <v>1.8384592124201555</v>
      </c>
      <c r="L7" s="264">
        <f>K7*(1+'конкурсная документация'!L18)</f>
        <v>1.9671513572895665</v>
      </c>
      <c r="M7" s="264">
        <f>L7*(1+'конкурсная документация'!M18)</f>
        <v>2.1048519522998363</v>
      </c>
      <c r="N7" s="264">
        <f>M7*(1+'конкурсная документация'!N18)</f>
        <v>2.252191588960825</v>
      </c>
      <c r="O7" s="264">
        <f>N7*(1+'конкурсная документация'!O18)</f>
        <v>2.4098450001880827</v>
      </c>
      <c r="P7" s="264">
        <f>O7*(1+'конкурсная документация'!P18)</f>
        <v>2.5785341502012487</v>
      </c>
      <c r="Q7" s="264">
        <f>P7*(1+'конкурсная документация'!Q18)</f>
        <v>2.7590315407153363</v>
      </c>
      <c r="R7" s="264">
        <f>Q7*(1+'конкурсная документация'!R18)</f>
        <v>2.95216374856541</v>
      </c>
      <c r="S7" s="264">
        <f>R7*(1+'конкурсная документация'!S18)</f>
        <v>3.158815210964989</v>
      </c>
      <c r="T7" s="264">
        <f>S7*(1+'конкурсная документация'!T18)</f>
        <v>3.3799322757325387</v>
      </c>
      <c r="U7" s="264">
        <f>T7*(1+'конкурсная документация'!U18)</f>
        <v>3.616527535033817</v>
      </c>
      <c r="V7" s="264">
        <f>U7*(1+'конкурсная документация'!V18)</f>
        <v>3.8696844624861844</v>
      </c>
      <c r="W7" s="264">
        <f>V7*(1+'конкурсная документация'!W18)</f>
        <v>4.140562374860218</v>
      </c>
      <c r="X7" s="264">
        <f>W7*(1+'конкурсная документация'!X18)</f>
        <v>4.430401741100433</v>
      </c>
      <c r="Y7" s="264">
        <f>X7*(1+'конкурсная документация'!Y18)</f>
        <v>4.740529862977464</v>
      </c>
      <c r="Z7" s="264">
        <f>Y7*(1+'конкурсная документация'!Z18)</f>
        <v>5.072366953385887</v>
      </c>
      <c r="AA7" s="264">
        <f>Z7*(1+'конкурсная документация'!AA18)</f>
        <v>5.4274326401229</v>
      </c>
      <c r="AB7" s="264">
        <f>AA7*(1+'конкурсная документация'!AB18)</f>
        <v>5.807352924931504</v>
      </c>
      <c r="AC7" s="264">
        <f>AB7*(1+'конкурсная документация'!AC18)</f>
        <v>6.2138676296767095</v>
      </c>
      <c r="AD7" s="264">
        <f>AC7*(1+'конкурсная документация'!AD18)</f>
        <v>6.64883836375408</v>
      </c>
      <c r="AE7" s="264">
        <f>AD7*(1+'конкурсная документация'!AE18)</f>
        <v>7.1142570492168655</v>
      </c>
      <c r="AF7" s="264">
        <f>AE7*(1+'конкурсная документация'!AF18)</f>
        <v>7.6122550426620466</v>
      </c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</row>
    <row r="8" spans="1:55" s="238" customFormat="1" ht="18" customHeight="1">
      <c r="A8" s="159" t="s">
        <v>143</v>
      </c>
      <c r="B8" s="263">
        <v>1</v>
      </c>
      <c r="C8" s="264">
        <f>B8*(1+'конкурсная документация'!C19)</f>
        <v>1.1</v>
      </c>
      <c r="D8" s="264">
        <f>C8*(1+'конкурсная документация'!D19)</f>
        <v>1.2210000000000003</v>
      </c>
      <c r="E8" s="264">
        <f>D8*(1+'конкурсная документация'!E19)</f>
        <v>1.2820500000000004</v>
      </c>
      <c r="F8" s="264">
        <f>E8*(1+'конкурсная документация'!F19)</f>
        <v>1.3717935000000006</v>
      </c>
      <c r="G8" s="264">
        <f>F8*(1+'конкурсная документация'!G19)</f>
        <v>1.4678190450000006</v>
      </c>
      <c r="H8" s="264">
        <f>G8*(1+'конкурсная документация'!H19)</f>
        <v>1.5705663781500008</v>
      </c>
      <c r="I8" s="264">
        <f>H8*(1+'конкурсная документация'!I19)</f>
        <v>1.680506024620501</v>
      </c>
      <c r="J8" s="264">
        <f>I8*(1+'конкурсная документация'!J19)</f>
        <v>1.7981414463439362</v>
      </c>
      <c r="K8" s="264">
        <f>J8*(1+'конкурсная документация'!K19)</f>
        <v>1.9240113475880118</v>
      </c>
      <c r="L8" s="264">
        <f>K8*(1+'конкурсная документация'!L19)</f>
        <v>2.0586921419191726</v>
      </c>
      <c r="M8" s="264">
        <f>L8*(1+'конкурсная документация'!M19)</f>
        <v>2.202800591853515</v>
      </c>
      <c r="N8" s="264">
        <f>M8*(1+'конкурсная документация'!N19)</f>
        <v>2.356996633283261</v>
      </c>
      <c r="O8" s="264">
        <f>N8*(1+'конкурсная документация'!O19)</f>
        <v>2.5219863976130896</v>
      </c>
      <c r="P8" s="264">
        <f>O8*(1+'конкурсная документация'!P19)</f>
        <v>2.698525445446006</v>
      </c>
      <c r="Q8" s="264">
        <f>P8*(1+'конкурсная документация'!Q19)</f>
        <v>2.8874222266272267</v>
      </c>
      <c r="R8" s="264">
        <f>Q8*(1+'конкурсная документация'!R19)</f>
        <v>3.089541782491133</v>
      </c>
      <c r="S8" s="264">
        <f>R8*(1+'конкурсная документация'!S19)</f>
        <v>3.3058097072655124</v>
      </c>
      <c r="T8" s="264">
        <f>S8*(1+'конкурсная документация'!T19)</f>
        <v>3.5372163867740984</v>
      </c>
      <c r="U8" s="264">
        <f>T8*(1+'конкурсная документация'!U19)</f>
        <v>3.7848215338482856</v>
      </c>
      <c r="V8" s="264">
        <f>U8*(1+'конкурсная документация'!V19)</f>
        <v>4.049759041217666</v>
      </c>
      <c r="W8" s="264">
        <f>V8*(1+'конкурсная документация'!W19)</f>
        <v>4.333242174102902</v>
      </c>
      <c r="X8" s="264">
        <f>W8*(1+'конкурсная документация'!X19)</f>
        <v>4.636569126290105</v>
      </c>
      <c r="Y8" s="264">
        <f>X8*(1+'конкурсная документация'!Y19)</f>
        <v>4.9611289651304125</v>
      </c>
      <c r="Z8" s="264">
        <f>Y8*(1+'конкурсная документация'!Z19)</f>
        <v>5.308407992689542</v>
      </c>
      <c r="AA8" s="264">
        <f>Z8*(1+'конкурсная документация'!AA19)</f>
        <v>5.67999655217781</v>
      </c>
      <c r="AB8" s="264">
        <f>AA8*(1+'конкурсная документация'!AB19)</f>
        <v>6.077596310830257</v>
      </c>
      <c r="AC8" s="264">
        <f>AB8*(1+'конкурсная документация'!AC19)</f>
        <v>6.503028052588376</v>
      </c>
      <c r="AD8" s="264">
        <f>AC8*(1+'конкурсная документация'!AD19)</f>
        <v>6.958240016269563</v>
      </c>
      <c r="AE8" s="264">
        <f>AD8*(1+'конкурсная документация'!AE19)</f>
        <v>7.4453168174084325</v>
      </c>
      <c r="AF8" s="264">
        <f>AE8*(1+'конкурсная документация'!AF19)</f>
        <v>7.966488994627023</v>
      </c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</row>
    <row r="9" spans="1:55" s="238" customFormat="1" ht="19.5" customHeight="1">
      <c r="A9" s="159" t="s">
        <v>51</v>
      </c>
      <c r="B9" s="263">
        <v>1</v>
      </c>
      <c r="C9" s="264">
        <f>B9*(1+'конкурсная документация'!C20)</f>
        <v>1.1</v>
      </c>
      <c r="D9" s="264">
        <f>C9*(1+'конкурсная документация'!D20)</f>
        <v>1.2100000000000002</v>
      </c>
      <c r="E9" s="264">
        <f>D9*(1+'конкурсная документация'!E20)</f>
        <v>1.2947000000000002</v>
      </c>
      <c r="F9" s="264">
        <f>E9*(1+'конкурсная документация'!F20)</f>
        <v>1.3723820000000002</v>
      </c>
      <c r="G9" s="264">
        <f>F9*(1+'конкурсная документация'!G20)</f>
        <v>1.4547249200000003</v>
      </c>
      <c r="H9" s="264">
        <f>G9*(1+'конкурсная документация'!H20)</f>
        <v>1.5420084152000004</v>
      </c>
      <c r="I9" s="264">
        <f>H9*(1+'конкурсная документация'!I20)</f>
        <v>1.6345289201120006</v>
      </c>
      <c r="J9" s="264">
        <f>I9*(1+'конкурсная документация'!J20)</f>
        <v>1.7326006553187208</v>
      </c>
      <c r="K9" s="264">
        <f>J9*(1+'конкурсная документация'!K20)</f>
        <v>1.836556694637844</v>
      </c>
      <c r="L9" s="264">
        <f>K9*(1+'конкурсная документация'!L20)</f>
        <v>1.9467500963161146</v>
      </c>
      <c r="M9" s="264">
        <f>L9*(1+'конкурсная документация'!M20)</f>
        <v>2.0635551020950818</v>
      </c>
      <c r="N9" s="264">
        <f>M9*(1+'конкурсная документация'!N20)</f>
        <v>2.1873684082207867</v>
      </c>
      <c r="O9" s="264">
        <f>N9*(1+'конкурсная документация'!O20)</f>
        <v>2.318610512714034</v>
      </c>
      <c r="P9" s="264">
        <f>O9*(1+'конкурсная документация'!P20)</f>
        <v>2.457727143476876</v>
      </c>
      <c r="Q9" s="264">
        <f>P9*(1+'конкурсная документация'!Q20)</f>
        <v>2.6051907720854888</v>
      </c>
      <c r="R9" s="264">
        <f>Q9*(1+'конкурсная документация'!R20)</f>
        <v>2.761502218410618</v>
      </c>
      <c r="S9" s="264">
        <f>R9*(1+'конкурсная документация'!S20)</f>
        <v>2.9271923515152554</v>
      </c>
      <c r="T9" s="264">
        <f>S9*(1+'конкурсная документация'!T20)</f>
        <v>3.1028238926061706</v>
      </c>
      <c r="U9" s="264">
        <f>T9*(1+'конкурсная документация'!U20)</f>
        <v>3.288993326162541</v>
      </c>
      <c r="V9" s="264">
        <f>U9*(1+'конкурсная документация'!V20)</f>
        <v>3.4863329257322935</v>
      </c>
      <c r="W9" s="264">
        <f>V9*(1+'конкурсная документация'!W20)</f>
        <v>3.6955129012762313</v>
      </c>
      <c r="X9" s="264">
        <f>W9*(1+'конкурсная документация'!X20)</f>
        <v>3.9172436753528053</v>
      </c>
      <c r="Y9" s="264">
        <f>X9*(1+'конкурсная документация'!Y20)</f>
        <v>4.152278295873974</v>
      </c>
      <c r="Z9" s="264">
        <f>Y9*(1+'конкурсная документация'!Z20)</f>
        <v>4.401414993626413</v>
      </c>
      <c r="AA9" s="264">
        <f>Z9*(1+'конкурсная документация'!AA20)</f>
        <v>4.665499893243998</v>
      </c>
      <c r="AB9" s="264">
        <f>AA9*(1+'конкурсная документация'!AB20)</f>
        <v>4.945429886838639</v>
      </c>
      <c r="AC9" s="264">
        <f>AB9*(1+'конкурсная документация'!AC20)</f>
        <v>5.242155680048957</v>
      </c>
      <c r="AD9" s="264">
        <f>AC9*(1+'конкурсная документация'!AD20)</f>
        <v>5.556685020851894</v>
      </c>
      <c r="AE9" s="264">
        <f>AD9*(1+'конкурсная документация'!AE20)</f>
        <v>5.890086122103008</v>
      </c>
      <c r="AF9" s="264">
        <f>AE9*(1+'конкурсная документация'!AF20)</f>
        <v>6.243491289429189</v>
      </c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</row>
    <row r="10" spans="1:55" s="238" customFormat="1" ht="19.5" customHeight="1">
      <c r="A10" s="159" t="s">
        <v>52</v>
      </c>
      <c r="B10" s="263">
        <v>1</v>
      </c>
      <c r="C10" s="264">
        <f>B10*(1+'конкурсная документация'!C21)</f>
        <v>1.0972</v>
      </c>
      <c r="D10" s="264">
        <f>C10*(1+'конкурсная документация'!D21)</f>
        <v>1.190462</v>
      </c>
      <c r="E10" s="264">
        <f>D10*(1+'конкурсная документация'!E21)</f>
        <v>1.280937112</v>
      </c>
      <c r="F10" s="264">
        <f>E10*(1+'конкурсная документация'!F21)</f>
        <v>1.35138865316</v>
      </c>
      <c r="G10" s="264">
        <f>F10*(1+'конкурсная документация'!G21)</f>
        <v>1.4392289156154</v>
      </c>
      <c r="H10" s="264">
        <f>G10*(1+'конкурсная документация'!H21)</f>
        <v>1.5327787951304008</v>
      </c>
      <c r="I10" s="264">
        <f>H10*(1+'конкурсная документация'!I21)</f>
        <v>1.6324094168138767</v>
      </c>
      <c r="J10" s="264">
        <f>I10*(1+'конкурсная документация'!J21)</f>
        <v>1.7385160289067787</v>
      </c>
      <c r="K10" s="264">
        <f>J10*(1+'конкурсная документация'!K21)</f>
        <v>1.8515195707857193</v>
      </c>
      <c r="L10" s="264">
        <f>K10*(1+'конкурсная документация'!L21)</f>
        <v>1.971868342886791</v>
      </c>
      <c r="M10" s="264">
        <f>L10*(1+'конкурсная документация'!M21)</f>
        <v>2.1000397851744323</v>
      </c>
      <c r="N10" s="264">
        <f>M10*(1+'конкурсная документация'!N21)</f>
        <v>2.23654237121077</v>
      </c>
      <c r="O10" s="264">
        <f>N10*(1+'конкурсная документация'!O21)</f>
        <v>2.38191762533947</v>
      </c>
      <c r="P10" s="264">
        <f>O10*(1+'конкурсная документация'!P21)</f>
        <v>2.5367422709865353</v>
      </c>
      <c r="Q10" s="264">
        <f>P10*(1+'конкурсная документация'!Q21)</f>
        <v>2.70163051860066</v>
      </c>
      <c r="R10" s="264">
        <f>Q10*(1+'конкурсная документация'!R21)</f>
        <v>2.8772365023097026</v>
      </c>
      <c r="S10" s="264">
        <f>R10*(1+'конкурсная документация'!S21)</f>
        <v>3.0642568749598333</v>
      </c>
      <c r="T10" s="264">
        <f>S10*(1+'конкурсная документация'!T21)</f>
        <v>3.2634335718322225</v>
      </c>
      <c r="U10" s="264">
        <f>T10*(1+'конкурсная документация'!U21)</f>
        <v>3.4755567540013166</v>
      </c>
      <c r="V10" s="264">
        <f>U10*(1+'конкурсная документация'!V21)</f>
        <v>3.701467943011402</v>
      </c>
      <c r="W10" s="264">
        <f>V10*(1+'конкурсная документация'!W21)</f>
        <v>3.942063359307143</v>
      </c>
      <c r="X10" s="264">
        <f>W10*(1+'конкурсная документация'!X21)</f>
        <v>4.1982974776621065</v>
      </c>
      <c r="Y10" s="264">
        <f>X10*(1+'конкурсная документация'!Y21)</f>
        <v>4.471186813710143</v>
      </c>
      <c r="Z10" s="264">
        <f>Y10*(1+'конкурсная документация'!Z21)</f>
        <v>4.761813956601302</v>
      </c>
      <c r="AA10" s="264">
        <f>Z10*(1+'конкурсная документация'!AA21)</f>
        <v>5.071331863780387</v>
      </c>
      <c r="AB10" s="264">
        <f>AA10*(1+'конкурсная документация'!AB21)</f>
        <v>5.400968434926112</v>
      </c>
      <c r="AC10" s="264">
        <f>AB10*(1+'конкурсная документация'!AC21)</f>
        <v>5.752031383196309</v>
      </c>
      <c r="AD10" s="264">
        <f>AC10*(1+'конкурсная документация'!AD21)</f>
        <v>6.125913423104069</v>
      </c>
      <c r="AE10" s="264">
        <f>AD10*(1+'конкурсная документация'!AE21)</f>
        <v>6.524097795605833</v>
      </c>
      <c r="AF10" s="264">
        <f>AE10*(1+'конкурсная документация'!AF21)</f>
        <v>6.948164152320212</v>
      </c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</row>
    <row r="11" spans="1:55" s="238" customFormat="1" ht="19.5" customHeight="1">
      <c r="A11" s="159" t="s">
        <v>53</v>
      </c>
      <c r="B11" s="263">
        <v>1</v>
      </c>
      <c r="C11" s="264">
        <f>B11*(1+'конкурсная документация'!C22)</f>
        <v>1.01</v>
      </c>
      <c r="D11" s="264">
        <f>C11*(1+'конкурсная документация'!D22)</f>
        <v>1.0908</v>
      </c>
      <c r="E11" s="264">
        <f>D11*(1+'конкурсная документация'!E22)</f>
        <v>1.178064</v>
      </c>
      <c r="F11" s="264">
        <f>E11*(1+'конкурсная документация'!F22)</f>
        <v>1.26052848</v>
      </c>
      <c r="G11" s="264">
        <f>F11*(1+'конкурсная документация'!G22)</f>
        <v>1.3361601888</v>
      </c>
      <c r="H11" s="264">
        <f>G11*(1+'конкурсная документация'!H22)</f>
        <v>1.4163298001280002</v>
      </c>
      <c r="I11" s="264">
        <f>H11*(1+'конкурсная документация'!I22)</f>
        <v>1.5013095881356804</v>
      </c>
      <c r="J11" s="264">
        <f>I11*(1+'конкурсная документация'!J22)</f>
        <v>1.5913881634238214</v>
      </c>
      <c r="K11" s="264">
        <f>J11*(1+'конкурсная документация'!K22)</f>
        <v>1.6868714532292508</v>
      </c>
      <c r="L11" s="264">
        <f>K11*(1+'конкурсная документация'!L22)</f>
        <v>1.7880837404230059</v>
      </c>
      <c r="M11" s="264">
        <f>L11*(1+'конкурсная документация'!M22)</f>
        <v>1.8953687648483863</v>
      </c>
      <c r="N11" s="264">
        <f>M11*(1+'конкурсная документация'!N22)</f>
        <v>2.0090908907392895</v>
      </c>
      <c r="O11" s="264">
        <f>N11*(1+'конкурсная документация'!O22)</f>
        <v>2.129636344183647</v>
      </c>
      <c r="P11" s="264">
        <f>O11*(1+'конкурсная документация'!P22)</f>
        <v>2.2574145248346658</v>
      </c>
      <c r="Q11" s="264">
        <f>P11*(1+'конкурсная документация'!Q22)</f>
        <v>2.392859396324746</v>
      </c>
      <c r="R11" s="264">
        <f>Q11*(1+'конкурсная документация'!R22)</f>
        <v>2.536430960104231</v>
      </c>
      <c r="S11" s="264">
        <f>R11*(1+'конкурсная документация'!S22)</f>
        <v>2.6886168177104848</v>
      </c>
      <c r="T11" s="264">
        <f>S11*(1+'конкурсная документация'!T22)</f>
        <v>2.849933826773114</v>
      </c>
      <c r="U11" s="264">
        <f>T11*(1+'конкурсная документация'!U22)</f>
        <v>3.020929856379501</v>
      </c>
      <c r="V11" s="264">
        <f>U11*(1+'конкурсная документация'!V22)</f>
        <v>3.202185647762271</v>
      </c>
      <c r="W11" s="264">
        <f>V11*(1+'конкурсная документация'!W22)</f>
        <v>3.3943167866280075</v>
      </c>
      <c r="X11" s="264">
        <f>W11*(1+'конкурсная документация'!X22)</f>
        <v>3.597975793825688</v>
      </c>
      <c r="Y11" s="264">
        <f>X11*(1+'конкурсная документация'!Y22)</f>
        <v>3.8138543414552295</v>
      </c>
      <c r="Z11" s="264">
        <f>Y11*(1+'конкурсная документация'!Z22)</f>
        <v>4.0426856019425434</v>
      </c>
      <c r="AA11" s="264">
        <f>Z11*(1+'конкурсная документация'!AA22)</f>
        <v>4.285246738059096</v>
      </c>
      <c r="AB11" s="264">
        <f>AA11*(1+'конкурсная документация'!AB22)</f>
        <v>4.5423615423426424</v>
      </c>
      <c r="AC11" s="264">
        <f>AB11*(1+'конкурсная документация'!AC22)</f>
        <v>4.814903234883201</v>
      </c>
      <c r="AD11" s="264">
        <f>AC11*(1+'конкурсная документация'!AD22)</f>
        <v>5.103797428976193</v>
      </c>
      <c r="AE11" s="264">
        <f>AD11*(1+'конкурсная документация'!AE22)</f>
        <v>5.410025274714766</v>
      </c>
      <c r="AF11" s="264">
        <f>AE11*(1+'конкурсная документация'!AF22)</f>
        <v>5.734626791197652</v>
      </c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</row>
    <row r="12" spans="1:32" s="238" customFormat="1" ht="15">
      <c r="A12" s="265" t="s">
        <v>162</v>
      </c>
      <c r="B12" s="258">
        <v>1</v>
      </c>
      <c r="C12" s="264">
        <f>B12*(1+'конкурсная документация'!C23)</f>
        <v>1.1</v>
      </c>
      <c r="D12" s="264">
        <f>C12*(1+'конкурсная документация'!D23)</f>
        <v>1.2100000000000002</v>
      </c>
      <c r="E12" s="264">
        <f>D12*(1+'конкурсная документация'!E23)</f>
        <v>1.2826000000000002</v>
      </c>
      <c r="F12" s="264">
        <f>E12*(1+'конкурсная документация'!F23)</f>
        <v>1.3723820000000002</v>
      </c>
      <c r="G12" s="264">
        <f>F12*(1+'конкурсная документация'!G23)</f>
        <v>1.4684487400000004</v>
      </c>
      <c r="H12" s="264">
        <f>G12*(1+'конкурсная документация'!H23)</f>
        <v>1.5712401518000005</v>
      </c>
      <c r="I12" s="264">
        <f>H12*(1+'конкурсная документация'!I23)</f>
        <v>1.6812269624260008</v>
      </c>
      <c r="J12" s="264">
        <f>I12*(1+'конкурсная документация'!J23)</f>
        <v>1.798912849795821</v>
      </c>
      <c r="K12" s="264">
        <f>J12*(1+'конкурсная документация'!K23)</f>
        <v>1.9248367492815284</v>
      </c>
      <c r="L12" s="264">
        <f>K12*(1+'конкурсная документация'!L23)</f>
        <v>2.0595753217312356</v>
      </c>
      <c r="M12" s="264">
        <f>L12*(1+'конкурсная документация'!M23)</f>
        <v>2.203745594252422</v>
      </c>
      <c r="N12" s="264">
        <f>M12*(1+'конкурсная документация'!N23)</f>
        <v>2.358007785850092</v>
      </c>
      <c r="O12" s="264">
        <f>N12*(1+'конкурсная документация'!O23)</f>
        <v>2.5230683308595983</v>
      </c>
      <c r="P12" s="264">
        <f>O12*(1+'конкурсная документация'!P23)</f>
        <v>2.6996831140197703</v>
      </c>
      <c r="Q12" s="264">
        <f>P12*(1+'конкурсная документация'!Q23)</f>
        <v>2.8886609320011543</v>
      </c>
      <c r="R12" s="264">
        <f>Q12*(1+'конкурсная документация'!R23)</f>
        <v>3.090867197241235</v>
      </c>
      <c r="S12" s="264">
        <f>R12*(1+'конкурсная документация'!S23)</f>
        <v>3.3072279010481216</v>
      </c>
      <c r="T12" s="264">
        <f>S12*(1+'конкурсная документация'!T23)</f>
        <v>3.53873385412149</v>
      </c>
      <c r="U12" s="264">
        <f>T12*(1+'конкурсная документация'!U23)</f>
        <v>3.7864452239099946</v>
      </c>
      <c r="V12" s="264">
        <f>U12*(1+'конкурсная документация'!V23)</f>
        <v>4.051496389583694</v>
      </c>
      <c r="W12" s="264">
        <f>V12*(1+'конкурсная документация'!W23)</f>
        <v>4.335101136854553</v>
      </c>
      <c r="X12" s="264">
        <f>W12*(1+'конкурсная документация'!X23)</f>
        <v>4.638558216434372</v>
      </c>
      <c r="Y12" s="264">
        <f>X12*(1+'конкурсная документация'!Y23)</f>
        <v>4.963257291584779</v>
      </c>
      <c r="Z12" s="264">
        <f>Y12*(1+'конкурсная документация'!Z23)</f>
        <v>5.310685301995714</v>
      </c>
      <c r="AA12" s="264">
        <f>Z12*(1+'конкурсная документация'!AA23)</f>
        <v>5.682433273135414</v>
      </c>
      <c r="AB12" s="264">
        <f>AA12*(1+'конкурсная документация'!AB23)</f>
        <v>6.080203602254894</v>
      </c>
      <c r="AC12" s="264">
        <f>AB12*(1+'конкурсная документация'!AC23)</f>
        <v>6.5058178544127365</v>
      </c>
      <c r="AD12" s="264">
        <f>AC12*(1+'конкурсная документация'!AD23)</f>
        <v>6.961225104221628</v>
      </c>
      <c r="AE12" s="264">
        <f>AD12*(1+'конкурсная документация'!AE23)</f>
        <v>7.448510861517143</v>
      </c>
      <c r="AF12" s="264">
        <f>AE12*(1+'конкурсная документация'!AF23)</f>
        <v>7.969906621823343</v>
      </c>
    </row>
    <row r="13" spans="1:32" s="75" customFormat="1" ht="21" customHeight="1">
      <c r="A13" s="70" t="s">
        <v>128</v>
      </c>
      <c r="B13" s="71"/>
      <c r="C13" s="72"/>
      <c r="D13" s="72"/>
      <c r="E13" s="72"/>
      <c r="F13" s="71"/>
      <c r="G13" s="71"/>
      <c r="H13" s="71"/>
      <c r="I13" s="71"/>
      <c r="J13" s="71"/>
      <c r="K13" s="72"/>
      <c r="L13" s="72"/>
      <c r="M13" s="72"/>
      <c r="N13" s="72"/>
      <c r="O13" s="72"/>
      <c r="P13" s="71"/>
      <c r="Q13" s="71"/>
      <c r="R13" s="71"/>
      <c r="S13" s="71"/>
      <c r="T13" s="71"/>
      <c r="U13" s="72"/>
      <c r="V13" s="72"/>
      <c r="W13" s="73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273" customFormat="1" ht="15">
      <c r="A14" s="159" t="s">
        <v>91</v>
      </c>
      <c r="B14" s="283"/>
      <c r="C14" s="284">
        <f>'конкурсные предложения'!B10*SUM(C15,C24,C38,C40:C41,C76)</f>
        <v>85.96704651162791</v>
      </c>
      <c r="D14" s="284">
        <f>'конкурсные предложения'!C10*SUM(D15,D24,D38,D40:D41,D76)</f>
        <v>91.74863498295912</v>
      </c>
      <c r="E14" s="284">
        <f>'конкурсные предложения'!D10*SUM(E15,E24,E38,E40:E41,E76)</f>
        <v>96.67374575405073</v>
      </c>
      <c r="F14" s="284">
        <f>'конкурсные предложения'!E10*SUM(F15,F24,F38,F40:F41,F76)</f>
        <v>101.85797258834981</v>
      </c>
      <c r="G14" s="284">
        <f>'конкурсные предложения'!F10*SUM(G15,G24,G38,G40:G41,G76)</f>
        <v>107.59158437002932</v>
      </c>
      <c r="H14" s="284">
        <f>'конкурсные предложения'!G10*SUM(H15,H24,H38,H40:H41,H76)</f>
        <v>113.67508641803312</v>
      </c>
      <c r="I14" s="284">
        <f>'конкурсные предложения'!H10*SUM(I15,I24,I38,I40:I41,I76)</f>
        <v>120.13283467616964</v>
      </c>
      <c r="J14" s="284">
        <f>'конкурсные предложения'!I10*SUM(J15,J24,J38,J40:J41,J76)</f>
        <v>126.99088153803501</v>
      </c>
      <c r="K14" s="284">
        <f>'конкурсные предложения'!J10*SUM(K15,K24,K38,K40:K41,K76)</f>
        <v>134.37143022490196</v>
      </c>
      <c r="L14" s="284">
        <f>'конкурсные предложения'!K10*SUM(L15,L24,L38,L40:L41,L76)</f>
        <v>142.12121077523662</v>
      </c>
      <c r="M14" s="284">
        <f>'конкурсные предложения'!L10*SUM(M15,M24,M38,M40:M41,M76)</f>
        <v>150.60348964415985</v>
      </c>
      <c r="N14" s="284">
        <f>'конкурсные предложения'!M10*SUM(N15,N24,N38,N40:N41,N76)</f>
        <v>160.13139326832334</v>
      </c>
      <c r="O14" s="284">
        <f>'конкурсные предложения'!N10*SUM(O15,O24,O38,O40:O41,O76)</f>
        <v>173.05423257124573</v>
      </c>
      <c r="P14" s="284">
        <f>'конкурсные предложения'!O10*SUM(P15,P24,P38,P40:P41,P76)</f>
        <v>190.0279123612132</v>
      </c>
      <c r="Q14" s="284">
        <f>'конкурсные предложения'!P10*SUM(Q15,Q24,Q38,Q40:Q41,Q76)</f>
        <v>211.1796621315793</v>
      </c>
      <c r="R14" s="284">
        <f>'конкурсные предложения'!Q10*SUM(R15,R24,R38,R40:R41,R76)</f>
        <v>237.1058140163962</v>
      </c>
      <c r="S14" s="284">
        <f>'конкурсные предложения'!R10*SUM(S15,S24,S38,S40:S41,S76)</f>
        <v>268.32271288637804</v>
      </c>
      <c r="T14" s="284">
        <f>'конкурсные предложения'!S10*SUM(T15,T24,T38,T40:T41,T76)</f>
        <v>305.3955993828403</v>
      </c>
      <c r="U14" s="284">
        <f>'конкурсные предложения'!T10*SUM(U15,U24,U38,U40:U41,U76)</f>
        <v>345.34205362907335</v>
      </c>
      <c r="V14" s="284">
        <f>'конкурсные предложения'!U10*SUM(V15,V24,V38,V40:V41,V76)</f>
        <v>395.8266304906856</v>
      </c>
      <c r="W14" s="284">
        <f>'конкурсные предложения'!V10*SUM(W15,W24,W38,W40:W41,W76)</f>
        <v>454.1886363337717</v>
      </c>
      <c r="X14" s="284">
        <f>'конкурсные предложения'!W10*SUM(X15,X24,X38,X40:X41,X76)</f>
        <v>519.0565263376232</v>
      </c>
      <c r="Y14" s="284">
        <f>'конкурсные предложения'!X10*SUM(Y15,Y24,Y38,Y40:Y41,Y76)</f>
        <v>591.0551727230935</v>
      </c>
      <c r="Z14" s="284">
        <f>'конкурсные предложения'!Y10*SUM(Z15,Z24,Z38,Z40:Z41,Z76)</f>
        <v>670.8650523929946</v>
      </c>
      <c r="AA14" s="284">
        <f>'конкурсные предложения'!Z10*SUM(AA15,AA24,AA38,AA40:AA41,AA76)</f>
        <v>759.2269698022764</v>
      </c>
      <c r="AB14" s="284">
        <f>'конкурсные предложения'!AA10*SUM(AB15,AB24,AB38,AB40:AB41,AB76)</f>
        <v>856.9471685726893</v>
      </c>
      <c r="AC14" s="284">
        <f>'конкурсные предложения'!AB10*SUM(AC15,AC24,AC38,AC40:AC41,AC76)</f>
        <v>964.9028631344484</v>
      </c>
      <c r="AD14" s="284">
        <f>'конкурсные предложения'!AC10*SUM(AD15,AD24,AD38,AD40:AD41,AD76)</f>
        <v>1084.0482241521456</v>
      </c>
      <c r="AE14" s="284">
        <f>'конкурсные предложения'!AD10*SUM(AE15,AE24,AE38,AE40:AE41,AE76)</f>
        <v>1215.4208541600597</v>
      </c>
      <c r="AF14" s="284">
        <f>'конкурсные предложения'!AE10*SUM(AF15,AF24,AF38,AF40:AF41,AF76)</f>
        <v>1360.148792708021</v>
      </c>
    </row>
    <row r="15" spans="1:32" s="273" customFormat="1" ht="15">
      <c r="A15" s="159" t="s">
        <v>100</v>
      </c>
      <c r="B15" s="271"/>
      <c r="C15" s="272">
        <f>'конкурсные предложения'!B6*C12</f>
        <v>11</v>
      </c>
      <c r="D15" s="285">
        <f>C15*D19*(1+D17)*(1-0.01)</f>
        <v>14.2250625</v>
      </c>
      <c r="E15" s="285">
        <f>D15*E19*(1+E17)*(1-0.01)</f>
        <v>14.927780587500001</v>
      </c>
      <c r="F15" s="272">
        <f>'конкурсные предложения'!E6*F12</f>
        <v>13.723820000000002</v>
      </c>
      <c r="G15" s="285">
        <f>F15*G19*(1+G17)*(1-0.01)</f>
        <v>14.537642526</v>
      </c>
      <c r="H15" s="285">
        <f>G15*H19*(1+H17)*(1-0.01)</f>
        <v>15.399724727791801</v>
      </c>
      <c r="I15" s="285">
        <f>H15*I19*(1+I17)*(1-0.01)</f>
        <v>16.312928404149858</v>
      </c>
      <c r="J15" s="285">
        <f>I15*J19*(1+J17)*(1-0.01)</f>
        <v>17.280285058515947</v>
      </c>
      <c r="K15" s="272">
        <f>'конкурсные предложения'!J6*K12</f>
        <v>19.248367492815284</v>
      </c>
      <c r="L15" s="285">
        <f>K15*L19*(1+L17)*(1-0.01)</f>
        <v>20.38979568513923</v>
      </c>
      <c r="M15" s="285">
        <f>L15*M19*(1+M17)*(1-0.01)</f>
        <v>21.598910569267986</v>
      </c>
      <c r="N15" s="285">
        <f>M15*N19*(1+N17)*(1-0.01)</f>
        <v>22.87972596602558</v>
      </c>
      <c r="O15" s="285">
        <f>N15*O19*(1+O17)*(1-0.01)</f>
        <v>24.236493715810894</v>
      </c>
      <c r="P15" s="272">
        <f>'конкурсные предложения'!O6*P12</f>
        <v>26.996831140197703</v>
      </c>
      <c r="Q15" s="285">
        <f>P15*Q19*(1+Q17)*(1-0.01)</f>
        <v>28.597743226811428</v>
      </c>
      <c r="R15" s="285">
        <f>Q15*R19*(1+R17)*(1-0.01)</f>
        <v>30.293589400161345</v>
      </c>
      <c r="S15" s="285">
        <f>R15*S19*(1+S17)*(1-0.01)</f>
        <v>32.08999925159092</v>
      </c>
      <c r="T15" s="285">
        <f>S15*T19*(1+T17)*(1-0.01)</f>
        <v>33.99293620721026</v>
      </c>
      <c r="U15" s="272">
        <f>'конкурсные предложения'!T6*U12</f>
        <v>0</v>
      </c>
      <c r="V15" s="285">
        <f>U15*V19*(1+V17)*(1-0.01)</f>
        <v>0</v>
      </c>
      <c r="W15" s="285">
        <f>V15*W19*(1+W17)*(1-0.01)</f>
        <v>0</v>
      </c>
      <c r="X15" s="285">
        <f>W15*X19*(1+X17)*(1-0.01)</f>
        <v>0</v>
      </c>
      <c r="Y15" s="285">
        <f>X15*Y19*(1+Y17)*(1-0.01)</f>
        <v>0</v>
      </c>
      <c r="Z15" s="272">
        <f>'конкурсные предложения'!Y6*Z12</f>
        <v>0</v>
      </c>
      <c r="AA15" s="285">
        <f>Z15*AA19*(1+AA17)*(1-0.01)</f>
        <v>0</v>
      </c>
      <c r="AB15" s="285">
        <f>AA15*AB19*(1+AB17)*(1-0.01)</f>
        <v>0</v>
      </c>
      <c r="AC15" s="285">
        <f>AB15*AC19*(1+AC17)*(1-0.01)</f>
        <v>0</v>
      </c>
      <c r="AD15" s="285">
        <f>AC15*AD19*(1+AD17)*(1-0.01)</f>
        <v>0</v>
      </c>
      <c r="AE15" s="272">
        <f>'конкурсные предложения'!AD6*AE12</f>
        <v>0</v>
      </c>
      <c r="AF15" s="285">
        <f>AE15*AF19*(1+AF17)*(1-0.01)</f>
        <v>0</v>
      </c>
    </row>
    <row r="16" spans="1:32" s="106" customFormat="1" ht="30">
      <c r="A16" s="248" t="s">
        <v>34</v>
      </c>
      <c r="B16" s="230"/>
      <c r="C16" s="227">
        <v>0.75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</row>
    <row r="17" spans="1:32" s="106" customFormat="1" ht="15">
      <c r="A17" s="248" t="s">
        <v>16</v>
      </c>
      <c r="B17" s="249"/>
      <c r="C17" s="251">
        <f>'конкурсная документация'!C$23</f>
        <v>0.1</v>
      </c>
      <c r="D17" s="251">
        <f>'конкурсная документация'!D$23</f>
        <v>0.1</v>
      </c>
      <c r="E17" s="251">
        <f>'конкурсная документация'!E$23</f>
        <v>0.06</v>
      </c>
      <c r="F17" s="251">
        <f>'конкурсная документация'!F$23</f>
        <v>0.07</v>
      </c>
      <c r="G17" s="251">
        <f>'конкурсная документация'!G$23</f>
        <v>0.07</v>
      </c>
      <c r="H17" s="251">
        <f>'конкурсная документация'!H$23</f>
        <v>0.07</v>
      </c>
      <c r="I17" s="251">
        <f>'конкурсная документация'!I$23</f>
        <v>0.07</v>
      </c>
      <c r="J17" s="251">
        <f>'конкурсная документация'!J$23</f>
        <v>0.07</v>
      </c>
      <c r="K17" s="251">
        <f>'конкурсная документация'!K$23</f>
        <v>0.07</v>
      </c>
      <c r="L17" s="251">
        <f>'конкурсная документация'!L$23</f>
        <v>0.07</v>
      </c>
      <c r="M17" s="251">
        <f>'конкурсная документация'!M$23</f>
        <v>0.07</v>
      </c>
      <c r="N17" s="251">
        <f>'конкурсная документация'!N$23</f>
        <v>0.07</v>
      </c>
      <c r="O17" s="251">
        <f>'конкурсная документация'!O$23</f>
        <v>0.07</v>
      </c>
      <c r="P17" s="251">
        <f>'конкурсная документация'!P$23</f>
        <v>0.07</v>
      </c>
      <c r="Q17" s="251">
        <f>'конкурсная документация'!Q$23</f>
        <v>0.07</v>
      </c>
      <c r="R17" s="251">
        <f>'конкурсная документация'!R$23</f>
        <v>0.07</v>
      </c>
      <c r="S17" s="251">
        <f>'конкурсная документация'!S$23</f>
        <v>0.07</v>
      </c>
      <c r="T17" s="251">
        <f>'конкурсная документация'!T$23</f>
        <v>0.07</v>
      </c>
      <c r="U17" s="251">
        <f>'конкурсная документация'!U$23</f>
        <v>0.07</v>
      </c>
      <c r="V17" s="251">
        <f>'конкурсная документация'!V$23</f>
        <v>0.07</v>
      </c>
      <c r="W17" s="251">
        <f>'конкурсная документация'!W$23</f>
        <v>0.07</v>
      </c>
      <c r="X17" s="251">
        <f>'конкурсная документация'!X$23</f>
        <v>0.07</v>
      </c>
      <c r="Y17" s="251">
        <f>'конкурсная документация'!Y$23</f>
        <v>0.07</v>
      </c>
      <c r="Z17" s="251">
        <f>'конкурсная документация'!Z$23</f>
        <v>0.07</v>
      </c>
      <c r="AA17" s="251">
        <f>'конкурсная документация'!AA$23</f>
        <v>0.07</v>
      </c>
      <c r="AB17" s="251">
        <f>'конкурсная документация'!AB$23</f>
        <v>0.07</v>
      </c>
      <c r="AC17" s="251">
        <f>'конкурсная документация'!AC$23</f>
        <v>0.07</v>
      </c>
      <c r="AD17" s="251">
        <f>'конкурсная документация'!AD$23</f>
        <v>0.07</v>
      </c>
      <c r="AE17" s="251">
        <f>'конкурсная документация'!AE$23</f>
        <v>0.07</v>
      </c>
      <c r="AF17" s="251">
        <f>'конкурсная документация'!AF$23</f>
        <v>0.07</v>
      </c>
    </row>
    <row r="18" spans="1:32" s="238" customFormat="1" ht="45">
      <c r="A18" s="257" t="s">
        <v>152</v>
      </c>
      <c r="B18" s="258"/>
      <c r="C18" s="259">
        <f>'конкурсная документация'!C43</f>
        <v>0.5</v>
      </c>
      <c r="D18" s="259">
        <f>C18*(1+$C$16*D21)/D19</f>
        <v>0.42105263157894735</v>
      </c>
      <c r="E18" s="259">
        <f>D18*(1+$C$16*E21)/E19</f>
        <v>0.42105263157894735</v>
      </c>
      <c r="F18" s="259">
        <f aca="true" t="shared" si="0" ref="F18:AF18">E18*(1+$C$16*F21)/F19</f>
        <v>0.42105263157894735</v>
      </c>
      <c r="G18" s="259">
        <f t="shared" si="0"/>
        <v>0.42105263157894735</v>
      </c>
      <c r="H18" s="259">
        <f t="shared" si="0"/>
        <v>0.42105263157894735</v>
      </c>
      <c r="I18" s="259">
        <f t="shared" si="0"/>
        <v>0.42105263157894735</v>
      </c>
      <c r="J18" s="259">
        <f t="shared" si="0"/>
        <v>0.42105263157894735</v>
      </c>
      <c r="K18" s="259">
        <f t="shared" si="0"/>
        <v>0.42105263157894735</v>
      </c>
      <c r="L18" s="259">
        <f t="shared" si="0"/>
        <v>0.42105263157894735</v>
      </c>
      <c r="M18" s="259">
        <f t="shared" si="0"/>
        <v>0.42105263157894735</v>
      </c>
      <c r="N18" s="259">
        <f t="shared" si="0"/>
        <v>0.42105263157894735</v>
      </c>
      <c r="O18" s="259">
        <f t="shared" si="0"/>
        <v>0.42105263157894735</v>
      </c>
      <c r="P18" s="259">
        <f t="shared" si="0"/>
        <v>0.42105263157894735</v>
      </c>
      <c r="Q18" s="259">
        <f t="shared" si="0"/>
        <v>0.42105263157894735</v>
      </c>
      <c r="R18" s="259">
        <f t="shared" si="0"/>
        <v>0.42105263157894735</v>
      </c>
      <c r="S18" s="259">
        <f t="shared" si="0"/>
        <v>0.42105263157894735</v>
      </c>
      <c r="T18" s="259">
        <f t="shared" si="0"/>
        <v>0.42105263157894735</v>
      </c>
      <c r="U18" s="259">
        <f t="shared" si="0"/>
        <v>0.42105263157894735</v>
      </c>
      <c r="V18" s="259">
        <f t="shared" si="0"/>
        <v>0.42105263157894735</v>
      </c>
      <c r="W18" s="259">
        <f t="shared" si="0"/>
        <v>0.42105263157894735</v>
      </c>
      <c r="X18" s="259">
        <f t="shared" si="0"/>
        <v>0.42105263157894735</v>
      </c>
      <c r="Y18" s="259">
        <f t="shared" si="0"/>
        <v>0.42105263157894735</v>
      </c>
      <c r="Z18" s="259">
        <f t="shared" si="0"/>
        <v>0.42105263157894735</v>
      </c>
      <c r="AA18" s="259">
        <f t="shared" si="0"/>
        <v>0.42105263157894735</v>
      </c>
      <c r="AB18" s="259">
        <f t="shared" si="0"/>
        <v>0.42105263157894735</v>
      </c>
      <c r="AC18" s="259">
        <f t="shared" si="0"/>
        <v>0.42105263157894735</v>
      </c>
      <c r="AD18" s="259">
        <f t="shared" si="0"/>
        <v>0.42105263157894735</v>
      </c>
      <c r="AE18" s="259">
        <f t="shared" si="0"/>
        <v>0.42105263157894735</v>
      </c>
      <c r="AF18" s="259">
        <f t="shared" si="0"/>
        <v>0.42105263157894735</v>
      </c>
    </row>
    <row r="19" spans="1:32" s="238" customFormat="1" ht="15">
      <c r="A19" s="257" t="s">
        <v>159</v>
      </c>
      <c r="B19" s="258"/>
      <c r="C19" s="260"/>
      <c r="D19" s="260">
        <f>(1+$C$16*D21)*C18+(1+$C$16*D23)*(1-C18)</f>
        <v>1.1875</v>
      </c>
      <c r="E19" s="260">
        <f aca="true" t="shared" si="1" ref="E19:AF19">(1+$C$16*E21)*D18+(1+$C$16*E23)*(1-D18)</f>
        <v>1</v>
      </c>
      <c r="F19" s="260">
        <f t="shared" si="1"/>
        <v>1</v>
      </c>
      <c r="G19" s="260">
        <f t="shared" si="1"/>
        <v>1</v>
      </c>
      <c r="H19" s="260">
        <f t="shared" si="1"/>
        <v>1</v>
      </c>
      <c r="I19" s="260">
        <f t="shared" si="1"/>
        <v>1</v>
      </c>
      <c r="J19" s="260">
        <f t="shared" si="1"/>
        <v>1</v>
      </c>
      <c r="K19" s="260">
        <f t="shared" si="1"/>
        <v>1</v>
      </c>
      <c r="L19" s="260">
        <f t="shared" si="1"/>
        <v>1</v>
      </c>
      <c r="M19" s="260">
        <f t="shared" si="1"/>
        <v>1</v>
      </c>
      <c r="N19" s="260">
        <f t="shared" si="1"/>
        <v>1</v>
      </c>
      <c r="O19" s="260">
        <f t="shared" si="1"/>
        <v>1</v>
      </c>
      <c r="P19" s="260">
        <f t="shared" si="1"/>
        <v>1</v>
      </c>
      <c r="Q19" s="260">
        <f t="shared" si="1"/>
        <v>1</v>
      </c>
      <c r="R19" s="260">
        <f t="shared" si="1"/>
        <v>1</v>
      </c>
      <c r="S19" s="260">
        <f t="shared" si="1"/>
        <v>1</v>
      </c>
      <c r="T19" s="260">
        <f t="shared" si="1"/>
        <v>1</v>
      </c>
      <c r="U19" s="260">
        <f t="shared" si="1"/>
        <v>1</v>
      </c>
      <c r="V19" s="260">
        <f t="shared" si="1"/>
        <v>1</v>
      </c>
      <c r="W19" s="260">
        <f t="shared" si="1"/>
        <v>1</v>
      </c>
      <c r="X19" s="260">
        <f t="shared" si="1"/>
        <v>1</v>
      </c>
      <c r="Y19" s="260">
        <f t="shared" si="1"/>
        <v>1</v>
      </c>
      <c r="Z19" s="260">
        <f t="shared" si="1"/>
        <v>1</v>
      </c>
      <c r="AA19" s="260">
        <f t="shared" si="1"/>
        <v>1</v>
      </c>
      <c r="AB19" s="260">
        <f t="shared" si="1"/>
        <v>1</v>
      </c>
      <c r="AC19" s="260">
        <f t="shared" si="1"/>
        <v>1</v>
      </c>
      <c r="AD19" s="260">
        <f t="shared" si="1"/>
        <v>1</v>
      </c>
      <c r="AE19" s="260">
        <f t="shared" si="1"/>
        <v>1</v>
      </c>
      <c r="AF19" s="260">
        <f t="shared" si="1"/>
        <v>1</v>
      </c>
    </row>
    <row r="20" spans="1:32" s="238" customFormat="1" ht="47.25" customHeight="1">
      <c r="A20" s="257" t="s">
        <v>153</v>
      </c>
      <c r="B20" s="261"/>
      <c r="C20" s="261">
        <f>'конкурсная документация'!C44</f>
        <v>1</v>
      </c>
      <c r="D20" s="261">
        <f>'конкурсная документация'!D44</f>
        <v>1</v>
      </c>
      <c r="E20" s="261">
        <f>'конкурсная документация'!E44</f>
        <v>1</v>
      </c>
      <c r="F20" s="261">
        <f>'конкурсная документация'!F44</f>
        <v>1</v>
      </c>
      <c r="G20" s="261">
        <f>'конкурсная документация'!G44</f>
        <v>1</v>
      </c>
      <c r="H20" s="261">
        <f>'конкурсная документация'!H44</f>
        <v>1</v>
      </c>
      <c r="I20" s="261">
        <f>'конкурсная документация'!I44</f>
        <v>1</v>
      </c>
      <c r="J20" s="261">
        <f>'конкурсная документация'!J44</f>
        <v>1</v>
      </c>
      <c r="K20" s="261">
        <f>'конкурсная документация'!K44</f>
        <v>1</v>
      </c>
      <c r="L20" s="261">
        <f>'конкурсная документация'!L44</f>
        <v>1</v>
      </c>
      <c r="M20" s="261">
        <f>'конкурсная документация'!M44</f>
        <v>1</v>
      </c>
      <c r="N20" s="261">
        <f>'конкурсная документация'!N44</f>
        <v>1</v>
      </c>
      <c r="O20" s="261">
        <f>'конкурсная документация'!O44</f>
        <v>1</v>
      </c>
      <c r="P20" s="261">
        <f>'конкурсная документация'!P44</f>
        <v>1</v>
      </c>
      <c r="Q20" s="261">
        <f>'конкурсная документация'!Q44</f>
        <v>1</v>
      </c>
      <c r="R20" s="261">
        <f>'конкурсная документация'!R44</f>
        <v>1</v>
      </c>
      <c r="S20" s="261">
        <f>'конкурсная документация'!S44</f>
        <v>1</v>
      </c>
      <c r="T20" s="261">
        <f>'конкурсная документация'!T44</f>
        <v>1</v>
      </c>
      <c r="U20" s="261">
        <f>'конкурсная документация'!U44</f>
        <v>1</v>
      </c>
      <c r="V20" s="261">
        <f>'конкурсная документация'!V44</f>
        <v>1</v>
      </c>
      <c r="W20" s="261">
        <f>'конкурсная документация'!W44</f>
        <v>1</v>
      </c>
      <c r="X20" s="261">
        <f>'конкурсная документация'!X44</f>
        <v>1</v>
      </c>
      <c r="Y20" s="261">
        <f>'конкурсная документация'!Y44</f>
        <v>1</v>
      </c>
      <c r="Z20" s="261">
        <f>'конкурсная документация'!Z44</f>
        <v>1</v>
      </c>
      <c r="AA20" s="261">
        <f>'конкурсная документация'!AA44</f>
        <v>1</v>
      </c>
      <c r="AB20" s="261">
        <f>'конкурсная документация'!AB44</f>
        <v>1</v>
      </c>
      <c r="AC20" s="261">
        <f>'конкурсная документация'!AC44</f>
        <v>1</v>
      </c>
      <c r="AD20" s="261">
        <f>'конкурсная документация'!AD44</f>
        <v>1</v>
      </c>
      <c r="AE20" s="261">
        <f>'конкурсная документация'!AE44</f>
        <v>1</v>
      </c>
      <c r="AF20" s="261">
        <f>'конкурсная документация'!AF44</f>
        <v>1</v>
      </c>
    </row>
    <row r="21" spans="1:32" s="238" customFormat="1" ht="16.5" customHeight="1">
      <c r="A21" s="257" t="s">
        <v>160</v>
      </c>
      <c r="B21" s="261"/>
      <c r="C21" s="261"/>
      <c r="D21" s="261">
        <f>(D20-C20)/C20</f>
        <v>0</v>
      </c>
      <c r="E21" s="261">
        <f aca="true" t="shared" si="2" ref="E21:AF21">(E20-D20)/D20</f>
        <v>0</v>
      </c>
      <c r="F21" s="261">
        <f t="shared" si="2"/>
        <v>0</v>
      </c>
      <c r="G21" s="261">
        <f t="shared" si="2"/>
        <v>0</v>
      </c>
      <c r="H21" s="261">
        <f t="shared" si="2"/>
        <v>0</v>
      </c>
      <c r="I21" s="261">
        <f t="shared" si="2"/>
        <v>0</v>
      </c>
      <c r="J21" s="261">
        <f t="shared" si="2"/>
        <v>0</v>
      </c>
      <c r="K21" s="261">
        <f t="shared" si="2"/>
        <v>0</v>
      </c>
      <c r="L21" s="261">
        <f t="shared" si="2"/>
        <v>0</v>
      </c>
      <c r="M21" s="261">
        <f t="shared" si="2"/>
        <v>0</v>
      </c>
      <c r="N21" s="261">
        <f t="shared" si="2"/>
        <v>0</v>
      </c>
      <c r="O21" s="261">
        <f t="shared" si="2"/>
        <v>0</v>
      </c>
      <c r="P21" s="261">
        <f t="shared" si="2"/>
        <v>0</v>
      </c>
      <c r="Q21" s="261">
        <f t="shared" si="2"/>
        <v>0</v>
      </c>
      <c r="R21" s="261">
        <f t="shared" si="2"/>
        <v>0</v>
      </c>
      <c r="S21" s="261">
        <f t="shared" si="2"/>
        <v>0</v>
      </c>
      <c r="T21" s="261">
        <f t="shared" si="2"/>
        <v>0</v>
      </c>
      <c r="U21" s="261">
        <f t="shared" si="2"/>
        <v>0</v>
      </c>
      <c r="V21" s="261">
        <f t="shared" si="2"/>
        <v>0</v>
      </c>
      <c r="W21" s="261">
        <f t="shared" si="2"/>
        <v>0</v>
      </c>
      <c r="X21" s="261">
        <f t="shared" si="2"/>
        <v>0</v>
      </c>
      <c r="Y21" s="261">
        <f t="shared" si="2"/>
        <v>0</v>
      </c>
      <c r="Z21" s="261">
        <f t="shared" si="2"/>
        <v>0</v>
      </c>
      <c r="AA21" s="261">
        <f t="shared" si="2"/>
        <v>0</v>
      </c>
      <c r="AB21" s="261">
        <f t="shared" si="2"/>
        <v>0</v>
      </c>
      <c r="AC21" s="261">
        <f t="shared" si="2"/>
        <v>0</v>
      </c>
      <c r="AD21" s="261">
        <f t="shared" si="2"/>
        <v>0</v>
      </c>
      <c r="AE21" s="261">
        <f t="shared" si="2"/>
        <v>0</v>
      </c>
      <c r="AF21" s="261">
        <f t="shared" si="2"/>
        <v>0</v>
      </c>
    </row>
    <row r="22" spans="1:256" s="238" customFormat="1" ht="33.75" customHeight="1">
      <c r="A22" s="257" t="s">
        <v>154</v>
      </c>
      <c r="B22" s="261"/>
      <c r="C22" s="261">
        <f>'конкурсная документация'!C45</f>
        <v>2</v>
      </c>
      <c r="D22" s="261">
        <f>'конкурсная документация'!D45</f>
        <v>3</v>
      </c>
      <c r="E22" s="261">
        <f>'конкурсная документация'!E45</f>
        <v>3</v>
      </c>
      <c r="F22" s="261">
        <f>'конкурсная документация'!F45</f>
        <v>3</v>
      </c>
      <c r="G22" s="261">
        <f>'конкурсная документация'!G45</f>
        <v>3</v>
      </c>
      <c r="H22" s="261">
        <f>'конкурсная документация'!H45</f>
        <v>3</v>
      </c>
      <c r="I22" s="261">
        <f>'конкурсная документация'!I45</f>
        <v>3</v>
      </c>
      <c r="J22" s="261">
        <f>'конкурсная документация'!J45</f>
        <v>3</v>
      </c>
      <c r="K22" s="261">
        <f>'конкурсная документация'!K45</f>
        <v>3</v>
      </c>
      <c r="L22" s="261">
        <f>'конкурсная документация'!L45</f>
        <v>3</v>
      </c>
      <c r="M22" s="261">
        <f>'конкурсная документация'!M45</f>
        <v>3</v>
      </c>
      <c r="N22" s="261">
        <f>'конкурсная документация'!N45</f>
        <v>3</v>
      </c>
      <c r="O22" s="261">
        <f>'конкурсная документация'!O45</f>
        <v>3</v>
      </c>
      <c r="P22" s="261">
        <f>'конкурсная документация'!P45</f>
        <v>3</v>
      </c>
      <c r="Q22" s="261">
        <f>'конкурсная документация'!Q45</f>
        <v>3</v>
      </c>
      <c r="R22" s="261">
        <f>'конкурсная документация'!R45</f>
        <v>3</v>
      </c>
      <c r="S22" s="261">
        <f>'конкурсная документация'!S45</f>
        <v>3</v>
      </c>
      <c r="T22" s="261">
        <f>'конкурсная документация'!T45</f>
        <v>3</v>
      </c>
      <c r="U22" s="261">
        <f>'конкурсная документация'!U45</f>
        <v>3</v>
      </c>
      <c r="V22" s="261">
        <f>'конкурсная документация'!V45</f>
        <v>3</v>
      </c>
      <c r="W22" s="261">
        <f>'конкурсная документация'!W45</f>
        <v>3</v>
      </c>
      <c r="X22" s="261">
        <f>'конкурсная документация'!X45</f>
        <v>3</v>
      </c>
      <c r="Y22" s="261">
        <f>'конкурсная документация'!Y45</f>
        <v>3</v>
      </c>
      <c r="Z22" s="261">
        <f>'конкурсная документация'!Z45</f>
        <v>3</v>
      </c>
      <c r="AA22" s="261">
        <f>'конкурсная документация'!AA45</f>
        <v>3</v>
      </c>
      <c r="AB22" s="261">
        <f>'конкурсная документация'!AB45</f>
        <v>3</v>
      </c>
      <c r="AC22" s="261">
        <f>'конкурсная документация'!AC45</f>
        <v>3</v>
      </c>
      <c r="AD22" s="261">
        <f>'конкурсная документация'!AD45</f>
        <v>3</v>
      </c>
      <c r="AE22" s="261">
        <f>'конкурсная документация'!AE45</f>
        <v>3</v>
      </c>
      <c r="AF22" s="261">
        <f>'конкурсная документация'!AF45</f>
        <v>3</v>
      </c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spans="1:256" s="238" customFormat="1" ht="30.75" customHeight="1">
      <c r="A23" s="257" t="s">
        <v>161</v>
      </c>
      <c r="B23" s="261"/>
      <c r="C23" s="261"/>
      <c r="D23" s="261">
        <f>(D22-C22)/C22</f>
        <v>0.5</v>
      </c>
      <c r="E23" s="261">
        <f>(E22-D22)/D22</f>
        <v>0</v>
      </c>
      <c r="F23" s="261">
        <f aca="true" t="shared" si="3" ref="F23:AF23">(F22-E22)/E22</f>
        <v>0</v>
      </c>
      <c r="G23" s="261">
        <f t="shared" si="3"/>
        <v>0</v>
      </c>
      <c r="H23" s="261">
        <f t="shared" si="3"/>
        <v>0</v>
      </c>
      <c r="I23" s="261">
        <f t="shared" si="3"/>
        <v>0</v>
      </c>
      <c r="J23" s="261">
        <f t="shared" si="3"/>
        <v>0</v>
      </c>
      <c r="K23" s="261">
        <f t="shared" si="3"/>
        <v>0</v>
      </c>
      <c r="L23" s="261">
        <f t="shared" si="3"/>
        <v>0</v>
      </c>
      <c r="M23" s="261">
        <f t="shared" si="3"/>
        <v>0</v>
      </c>
      <c r="N23" s="261">
        <f t="shared" si="3"/>
        <v>0</v>
      </c>
      <c r="O23" s="261">
        <f t="shared" si="3"/>
        <v>0</v>
      </c>
      <c r="P23" s="261">
        <f t="shared" si="3"/>
        <v>0</v>
      </c>
      <c r="Q23" s="261">
        <f t="shared" si="3"/>
        <v>0</v>
      </c>
      <c r="R23" s="261">
        <f t="shared" si="3"/>
        <v>0</v>
      </c>
      <c r="S23" s="261">
        <f t="shared" si="3"/>
        <v>0</v>
      </c>
      <c r="T23" s="261">
        <f t="shared" si="3"/>
        <v>0</v>
      </c>
      <c r="U23" s="261">
        <f t="shared" si="3"/>
        <v>0</v>
      </c>
      <c r="V23" s="261">
        <f t="shared" si="3"/>
        <v>0</v>
      </c>
      <c r="W23" s="261">
        <f t="shared" si="3"/>
        <v>0</v>
      </c>
      <c r="X23" s="261">
        <f t="shared" si="3"/>
        <v>0</v>
      </c>
      <c r="Y23" s="261">
        <f t="shared" si="3"/>
        <v>0</v>
      </c>
      <c r="Z23" s="261">
        <f t="shared" si="3"/>
        <v>0</v>
      </c>
      <c r="AA23" s="261">
        <f t="shared" si="3"/>
        <v>0</v>
      </c>
      <c r="AB23" s="261">
        <f t="shared" si="3"/>
        <v>0</v>
      </c>
      <c r="AC23" s="261">
        <f t="shared" si="3"/>
        <v>0</v>
      </c>
      <c r="AD23" s="261">
        <f t="shared" si="3"/>
        <v>0</v>
      </c>
      <c r="AE23" s="261">
        <f t="shared" si="3"/>
        <v>0</v>
      </c>
      <c r="AF23" s="261">
        <f t="shared" si="3"/>
        <v>0</v>
      </c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  <c r="GK23" s="262"/>
      <c r="GL23" s="262"/>
      <c r="GM23" s="262"/>
      <c r="GN23" s="262"/>
      <c r="GO23" s="262"/>
      <c r="GP23" s="262"/>
      <c r="GQ23" s="262"/>
      <c r="GR23" s="262"/>
      <c r="GS23" s="262"/>
      <c r="GT23" s="262"/>
      <c r="GU23" s="262"/>
      <c r="GV23" s="262"/>
      <c r="GW23" s="262"/>
      <c r="GX23" s="262"/>
      <c r="GY23" s="262"/>
      <c r="GZ23" s="262"/>
      <c r="HA23" s="262"/>
      <c r="HB23" s="262"/>
      <c r="HC23" s="262"/>
      <c r="HD23" s="262"/>
      <c r="HE23" s="262"/>
      <c r="HF23" s="262"/>
      <c r="HG23" s="262"/>
      <c r="HH23" s="262"/>
      <c r="HI23" s="262"/>
      <c r="HJ23" s="262"/>
      <c r="HK23" s="262"/>
      <c r="HL23" s="262"/>
      <c r="HM23" s="262"/>
      <c r="HN23" s="262"/>
      <c r="HO23" s="262"/>
      <c r="HP23" s="262"/>
      <c r="HQ23" s="262"/>
      <c r="HR23" s="262"/>
      <c r="HS23" s="262"/>
      <c r="HT23" s="262"/>
      <c r="HU23" s="262"/>
      <c r="HV23" s="262"/>
      <c r="HW23" s="262"/>
      <c r="HX23" s="262"/>
      <c r="HY23" s="262"/>
      <c r="HZ23" s="262"/>
      <c r="IA23" s="262"/>
      <c r="IB23" s="262"/>
      <c r="IC23" s="262"/>
      <c r="ID23" s="262"/>
      <c r="IE23" s="262"/>
      <c r="IF23" s="262"/>
      <c r="IG23" s="262"/>
      <c r="IH23" s="262"/>
      <c r="II23" s="262"/>
      <c r="IJ23" s="262"/>
      <c r="IK23" s="262"/>
      <c r="IL23" s="262"/>
      <c r="IM23" s="262"/>
      <c r="IN23" s="262"/>
      <c r="IO23" s="262"/>
      <c r="IP23" s="262"/>
      <c r="IQ23" s="262"/>
      <c r="IR23" s="262"/>
      <c r="IS23" s="262"/>
      <c r="IT23" s="262"/>
      <c r="IU23" s="262"/>
      <c r="IV23" s="262"/>
    </row>
    <row r="24" spans="1:32" s="106" customFormat="1" ht="15" customHeight="1">
      <c r="A24" s="178" t="s">
        <v>59</v>
      </c>
      <c r="B24" s="249"/>
      <c r="C24" s="249">
        <f aca="true" t="shared" si="4" ref="C24:AF24">SUM(C25,C28,C31,C34)</f>
        <v>33.250465116279074</v>
      </c>
      <c r="D24" s="249">
        <f t="shared" si="4"/>
        <v>35.67708732959102</v>
      </c>
      <c r="E24" s="249">
        <f t="shared" si="4"/>
        <v>38.35338695300723</v>
      </c>
      <c r="F24" s="249">
        <f t="shared" si="4"/>
        <v>40.573591183497996</v>
      </c>
      <c r="G24" s="249">
        <f t="shared" si="4"/>
        <v>43.20465524529305</v>
      </c>
      <c r="H24" s="249">
        <f t="shared" si="4"/>
        <v>46.0065913085089</v>
      </c>
      <c r="I24" s="249">
        <f t="shared" si="4"/>
        <v>48.99051304343402</v>
      </c>
      <c r="J24" s="249">
        <f t="shared" si="4"/>
        <v>52.168258035733984</v>
      </c>
      <c r="K24" s="249">
        <f t="shared" si="4"/>
        <v>55.55243501007729</v>
      </c>
      <c r="L24" s="249">
        <f t="shared" si="4"/>
        <v>59.15647413887068</v>
      </c>
      <c r="M24" s="249">
        <f t="shared" si="4"/>
        <v>62.99468063795021</v>
      </c>
      <c r="N24" s="249">
        <f t="shared" si="4"/>
        <v>67.0822918643002</v>
      </c>
      <c r="O24" s="249">
        <f t="shared" si="4"/>
        <v>71.43553814496498</v>
      </c>
      <c r="P24" s="249">
        <f t="shared" si="4"/>
        <v>76.07170758133671</v>
      </c>
      <c r="Q24" s="249">
        <f t="shared" si="4"/>
        <v>81.00921508900683</v>
      </c>
      <c r="R24" s="249">
        <f t="shared" si="4"/>
        <v>86.26767595042197</v>
      </c>
      <c r="S24" s="249">
        <f t="shared" si="4"/>
        <v>91.86798417576011</v>
      </c>
      <c r="T24" s="249">
        <f t="shared" si="4"/>
        <v>97.83239598680865</v>
      </c>
      <c r="U24" s="249">
        <f t="shared" si="4"/>
        <v>104.18461875926499</v>
      </c>
      <c r="V24" s="249">
        <f t="shared" si="4"/>
        <v>110.94990578087392</v>
      </c>
      <c r="W24" s="249">
        <f t="shared" si="4"/>
        <v>118.15515720625302</v>
      </c>
      <c r="X24" s="249">
        <f t="shared" si="4"/>
        <v>125.8290276142354</v>
      </c>
      <c r="Y24" s="249">
        <f t="shared" si="4"/>
        <v>134.0020406001758</v>
      </c>
      <c r="Z24" s="249">
        <f t="shared" si="4"/>
        <v>142.7067108640324</v>
      </c>
      <c r="AA24" s="249">
        <f t="shared" si="4"/>
        <v>151.97767428526538</v>
      </c>
      <c r="AB24" s="249">
        <f t="shared" si="4"/>
        <v>161.8518265078092</v>
      </c>
      <c r="AC24" s="249">
        <f t="shared" si="4"/>
        <v>172.36847059270676</v>
      </c>
      <c r="AD24" s="249">
        <f t="shared" si="4"/>
        <v>183.56947433258173</v>
      </c>
      <c r="AE24" s="249">
        <f t="shared" si="4"/>
        <v>195.4994378611174</v>
      </c>
      <c r="AF24" s="249">
        <f t="shared" si="4"/>
        <v>208.205872232265</v>
      </c>
    </row>
    <row r="25" spans="1:32" s="106" customFormat="1" ht="14.25" customHeight="1">
      <c r="A25" s="252" t="s">
        <v>18</v>
      </c>
      <c r="B25" s="247"/>
      <c r="C25" s="247">
        <f>C26*C27/1000</f>
        <v>24.878372093023255</v>
      </c>
      <c r="D25" s="247">
        <f aca="true" t="shared" si="5" ref="D25:AF25">D26*D27/1000</f>
        <v>26.682768965517244</v>
      </c>
      <c r="E25" s="247">
        <f t="shared" si="5"/>
        <v>28.710659406896557</v>
      </c>
      <c r="F25" s="247">
        <f t="shared" si="5"/>
        <v>30.289745674275864</v>
      </c>
      <c r="G25" s="247">
        <f t="shared" si="5"/>
        <v>32.25857914310379</v>
      </c>
      <c r="H25" s="247">
        <f t="shared" si="5"/>
        <v>34.355386787405536</v>
      </c>
      <c r="I25" s="247">
        <f t="shared" si="5"/>
        <v>36.588486928586896</v>
      </c>
      <c r="J25" s="247">
        <f t="shared" si="5"/>
        <v>38.96673857894504</v>
      </c>
      <c r="K25" s="247">
        <f t="shared" si="5"/>
        <v>41.49957658657647</v>
      </c>
      <c r="L25" s="247">
        <f t="shared" si="5"/>
        <v>44.19704906470393</v>
      </c>
      <c r="M25" s="247">
        <f t="shared" si="5"/>
        <v>47.06985725390969</v>
      </c>
      <c r="N25" s="247">
        <f t="shared" si="5"/>
        <v>50.12939797541381</v>
      </c>
      <c r="O25" s="247">
        <f t="shared" si="5"/>
        <v>53.387808843815705</v>
      </c>
      <c r="P25" s="247">
        <f t="shared" si="5"/>
        <v>56.85801641866372</v>
      </c>
      <c r="Q25" s="247">
        <f t="shared" si="5"/>
        <v>60.55378748587687</v>
      </c>
      <c r="R25" s="247">
        <f t="shared" si="5"/>
        <v>64.48978367245886</v>
      </c>
      <c r="S25" s="247">
        <f t="shared" si="5"/>
        <v>68.68161961116867</v>
      </c>
      <c r="T25" s="247">
        <f t="shared" si="5"/>
        <v>73.14592488589464</v>
      </c>
      <c r="U25" s="247">
        <f t="shared" si="5"/>
        <v>77.90041000347777</v>
      </c>
      <c r="V25" s="247">
        <f t="shared" si="5"/>
        <v>82.96393665370384</v>
      </c>
      <c r="W25" s="247">
        <f t="shared" si="5"/>
        <v>88.35659253619458</v>
      </c>
      <c r="X25" s="247">
        <f t="shared" si="5"/>
        <v>94.09977105104723</v>
      </c>
      <c r="Y25" s="247">
        <f t="shared" si="5"/>
        <v>100.2162561693653</v>
      </c>
      <c r="Z25" s="247">
        <f t="shared" si="5"/>
        <v>106.73031282037404</v>
      </c>
      <c r="AA25" s="247">
        <f t="shared" si="5"/>
        <v>113.66778315369834</v>
      </c>
      <c r="AB25" s="247">
        <f t="shared" si="5"/>
        <v>121.05618905868873</v>
      </c>
      <c r="AC25" s="247">
        <f t="shared" si="5"/>
        <v>128.9248413475035</v>
      </c>
      <c r="AD25" s="247">
        <f t="shared" si="5"/>
        <v>137.3049560350912</v>
      </c>
      <c r="AE25" s="247">
        <f t="shared" si="5"/>
        <v>146.2297781773721</v>
      </c>
      <c r="AF25" s="247">
        <f t="shared" si="5"/>
        <v>155.7347137589013</v>
      </c>
    </row>
    <row r="26" spans="1:32" s="273" customFormat="1" ht="30">
      <c r="A26" s="270" t="s">
        <v>90</v>
      </c>
      <c r="B26" s="271"/>
      <c r="C26" s="272">
        <f>'конкурсная документация'!C47*'конкурсные предложения'!B13/(1-'конкурсные предложения'!B11)</f>
        <v>1744.1860465116279</v>
      </c>
      <c r="D26" s="272">
        <f>'конкурсная документация'!D47*'конкурсные предложения'!C13/(1-'конкурсные предложения'!C11)</f>
        <v>1724.1379310344828</v>
      </c>
      <c r="E26" s="272">
        <f>'конкурсная документация'!E47*'конкурсные предложения'!D13/(1-'конкурсные предложения'!D11)</f>
        <v>1724.1379310344828</v>
      </c>
      <c r="F26" s="272">
        <f>'конкурсная документация'!F47*'конкурсные предложения'!E13/(1-'конкурсные предложения'!E11)</f>
        <v>1724.1379310344828</v>
      </c>
      <c r="G26" s="272">
        <f>'конкурсная документация'!G47*'конкурсные предложения'!F13/(1-'конкурсные предложения'!F11)</f>
        <v>1724.1379310344828</v>
      </c>
      <c r="H26" s="272">
        <f>'конкурсная документация'!H47*'конкурсные предложения'!G13/(1-'конкурсные предложения'!G11)</f>
        <v>1724.1379310344828</v>
      </c>
      <c r="I26" s="272">
        <f>'конкурсная документация'!I47*'конкурсные предложения'!H13/(1-'конкурсные предложения'!H11)</f>
        <v>1724.1379310344828</v>
      </c>
      <c r="J26" s="272">
        <f>'конкурсная документация'!J47*'конкурсные предложения'!I13/(1-'конкурсные предложения'!I11)</f>
        <v>1724.1379310344828</v>
      </c>
      <c r="K26" s="272">
        <f>'конкурсная документация'!K47*'конкурсные предложения'!J13/(1-'конкурсные предложения'!J11)</f>
        <v>1724.1379310344828</v>
      </c>
      <c r="L26" s="272">
        <f>'конкурсная документация'!L47*'конкурсные предложения'!K13/(1-'конкурсные предложения'!K11)</f>
        <v>1724.1379310344828</v>
      </c>
      <c r="M26" s="272">
        <f>'конкурсная документация'!M47*'конкурсные предложения'!L13/(1-'конкурсные предложения'!L11)</f>
        <v>1724.1379310344828</v>
      </c>
      <c r="N26" s="272">
        <f>'конкурсная документация'!N47*'конкурсные предложения'!M13/(1-'конкурсные предложения'!M11)</f>
        <v>1724.1379310344828</v>
      </c>
      <c r="O26" s="272">
        <f>'конкурсная документация'!O47*'конкурсные предложения'!N13/(1-'конкурсные предложения'!N11)</f>
        <v>1724.1379310344828</v>
      </c>
      <c r="P26" s="272">
        <f>'конкурсная документация'!P47*'конкурсные предложения'!O13/(1-'конкурсные предложения'!O11)</f>
        <v>1724.1379310344828</v>
      </c>
      <c r="Q26" s="272">
        <f>'конкурсная документация'!Q47*'конкурсные предложения'!P13/(1-'конкурсные предложения'!P11)</f>
        <v>1724.1379310344828</v>
      </c>
      <c r="R26" s="272">
        <f>'конкурсная документация'!R47*'конкурсные предложения'!Q13/(1-'конкурсные предложения'!Q11)</f>
        <v>1724.1379310344828</v>
      </c>
      <c r="S26" s="272">
        <f>'конкурсная документация'!S47*'конкурсные предложения'!R13/(1-'конкурсные предложения'!R11)</f>
        <v>1724.1379310344828</v>
      </c>
      <c r="T26" s="272">
        <f>'конкурсная документация'!T47*'конкурсные предложения'!S13/(1-'конкурсные предложения'!S11)</f>
        <v>1724.1379310344828</v>
      </c>
      <c r="U26" s="272">
        <f>'конкурсная документация'!U47*'конкурсные предложения'!T13/(1-'конкурсные предложения'!T11)</f>
        <v>1724.1379310344828</v>
      </c>
      <c r="V26" s="272">
        <f>'конкурсная документация'!V47*'конкурсные предложения'!U13/(1-'конкурсные предложения'!U11)</f>
        <v>1724.1379310344828</v>
      </c>
      <c r="W26" s="272">
        <f>'конкурсная документация'!W47*'конкурсные предложения'!V13/(1-'конкурсные предложения'!V11)</f>
        <v>1724.1379310344828</v>
      </c>
      <c r="X26" s="272">
        <f>'конкурсная документация'!X47*'конкурсные предложения'!W13/(1-'конкурсные предложения'!W11)</f>
        <v>1724.1379310344828</v>
      </c>
      <c r="Y26" s="272">
        <f>'конкурсная документация'!Y47*'конкурсные предложения'!X13/(1-'конкурсные предложения'!X11)</f>
        <v>1724.1379310344828</v>
      </c>
      <c r="Z26" s="272">
        <f>'конкурсная документация'!Z47*'конкурсные предложения'!Y13/(1-'конкурсные предложения'!Y11)</f>
        <v>1724.1379310344828</v>
      </c>
      <c r="AA26" s="272">
        <f>'конкурсная документация'!AA47*'конкурсные предложения'!Z13/(1-'конкурсные предложения'!Z11)</f>
        <v>1724.1379310344828</v>
      </c>
      <c r="AB26" s="272">
        <f>'конкурсная документация'!AB47*'конкурсные предложения'!AA13/(1-'конкурсные предложения'!AA11)</f>
        <v>1724.1379310344828</v>
      </c>
      <c r="AC26" s="272">
        <f>'конкурсная документация'!AC47*'конкурсные предложения'!AB13/(1-'конкурсные предложения'!AB11)</f>
        <v>1724.1379310344828</v>
      </c>
      <c r="AD26" s="272">
        <f>'конкурсная документация'!AD47*'конкурсные предложения'!AC13/(1-'конкурсные предложения'!AC11)</f>
        <v>1724.1379310344828</v>
      </c>
      <c r="AE26" s="272">
        <f>'конкурсная документация'!AE47*'конкурсные предложения'!AD13/(1-'конкурсные предложения'!AD11)</f>
        <v>1724.1379310344828</v>
      </c>
      <c r="AF26" s="272">
        <f>'конкурсная документация'!AF47*'конкурсные предложения'!AE13/(1-'конкурсные предложения'!AE11)</f>
        <v>1724.1379310344828</v>
      </c>
    </row>
    <row r="27" spans="1:32" s="273" customFormat="1" ht="15" customHeight="1">
      <c r="A27" s="270" t="s">
        <v>20</v>
      </c>
      <c r="B27" s="271"/>
      <c r="C27" s="272">
        <f>'конкурсная документация'!B16*(1+'конкурсная документация'!C21)</f>
        <v>14.2636</v>
      </c>
      <c r="D27" s="272">
        <f>C27*(1+'конкурсная документация'!D21)</f>
        <v>15.476006</v>
      </c>
      <c r="E27" s="272">
        <f>D27*(1+'конкурсная документация'!E21)</f>
        <v>16.652182456000002</v>
      </c>
      <c r="F27" s="272">
        <f>E27*(1+'конкурсная документация'!F21)</f>
        <v>17.56805249108</v>
      </c>
      <c r="G27" s="272">
        <f>F27*(1+'конкурсная документация'!G21)</f>
        <v>18.7099759030002</v>
      </c>
      <c r="H27" s="272">
        <f>G27*(1+'конкурсная документация'!H21)</f>
        <v>19.92612433669521</v>
      </c>
      <c r="I27" s="272">
        <f>H27*(1+'конкурсная документация'!I21)</f>
        <v>21.2213224185804</v>
      </c>
      <c r="J27" s="272">
        <f>I27*(1+'конкурсная документация'!J21)</f>
        <v>22.600708375788123</v>
      </c>
      <c r="K27" s="272">
        <f>J27*(1+'конкурсная документация'!K21)</f>
        <v>24.069754420214352</v>
      </c>
      <c r="L27" s="272">
        <f>K27*(1+'конкурсная документация'!L21)</f>
        <v>25.63428845752828</v>
      </c>
      <c r="M27" s="272">
        <f>L27*(1+'конкурсная документация'!M21)</f>
        <v>27.300517207267617</v>
      </c>
      <c r="N27" s="272">
        <f>M27*(1+'конкурсная документация'!N21)</f>
        <v>29.07505082574001</v>
      </c>
      <c r="O27" s="272">
        <f>N27*(1+'конкурсная документация'!O21)</f>
        <v>30.96492912941311</v>
      </c>
      <c r="P27" s="272">
        <f>O27*(1+'конкурсная документация'!P21)</f>
        <v>32.97764952282496</v>
      </c>
      <c r="Q27" s="272">
        <f>P27*(1+'конкурсная документация'!Q21)</f>
        <v>35.12119674180858</v>
      </c>
      <c r="R27" s="272">
        <f>Q27*(1+'конкурсная документация'!R21)</f>
        <v>37.404074530026136</v>
      </c>
      <c r="S27" s="272">
        <f>R27*(1+'конкурсная документация'!S21)</f>
        <v>39.83533937447783</v>
      </c>
      <c r="T27" s="272">
        <f>S27*(1+'конкурсная документация'!T21)</f>
        <v>42.42463643381889</v>
      </c>
      <c r="U27" s="272">
        <f>T27*(1+'конкурсная документация'!U21)</f>
        <v>45.18223780201711</v>
      </c>
      <c r="V27" s="272">
        <f>U27*(1+'конкурсная документация'!V21)</f>
        <v>48.119083259148226</v>
      </c>
      <c r="W27" s="272">
        <f>V27*(1+'конкурсная документация'!W21)</f>
        <v>51.24682367099286</v>
      </c>
      <c r="X27" s="272">
        <f>W27*(1+'конкурсная документация'!X21)</f>
        <v>54.57786720960739</v>
      </c>
      <c r="Y27" s="272">
        <f>X27*(1+'конкурсная документация'!Y21)</f>
        <v>58.12542857823187</v>
      </c>
      <c r="Z27" s="272">
        <f>Y27*(1+'конкурсная документация'!Z21)</f>
        <v>61.90358143581694</v>
      </c>
      <c r="AA27" s="272">
        <f>Z27*(1+'конкурсная документация'!AA21)</f>
        <v>65.92731422914504</v>
      </c>
      <c r="AB27" s="272">
        <f>AA27*(1+'конкурсная документация'!AB21)</f>
        <v>70.21258965403946</v>
      </c>
      <c r="AC27" s="272">
        <f>AB27*(1+'конкурсная документация'!AC21)</f>
        <v>74.77640798155203</v>
      </c>
      <c r="AD27" s="272">
        <f>AC27*(1+'конкурсная документация'!AD21)</f>
        <v>79.6368745003529</v>
      </c>
      <c r="AE27" s="272">
        <f>AD27*(1+'конкурсная документация'!AE21)</f>
        <v>84.81327134287584</v>
      </c>
      <c r="AF27" s="272">
        <f>AE27*(1+'конкурсная документация'!AF21)</f>
        <v>90.32613398016277</v>
      </c>
    </row>
    <row r="28" spans="1:32" s="106" customFormat="1" ht="15">
      <c r="A28" s="252" t="s">
        <v>60</v>
      </c>
      <c r="B28" s="247"/>
      <c r="C28" s="247">
        <f aca="true" t="shared" si="6" ref="C28:AF28">C29*C30/1000</f>
        <v>3.732558139534884</v>
      </c>
      <c r="D28" s="247">
        <f t="shared" si="6"/>
        <v>3.9479310344827594</v>
      </c>
      <c r="E28" s="247">
        <f t="shared" si="6"/>
        <v>4.224286206896553</v>
      </c>
      <c r="F28" s="247">
        <f t="shared" si="6"/>
        <v>4.519986241379312</v>
      </c>
      <c r="G28" s="247">
        <f t="shared" si="6"/>
        <v>4.8363852782758645</v>
      </c>
      <c r="H28" s="247">
        <f t="shared" si="6"/>
        <v>5.174932247755176</v>
      </c>
      <c r="I28" s="247">
        <f t="shared" si="6"/>
        <v>5.537177505098039</v>
      </c>
      <c r="J28" s="247">
        <f t="shared" si="6"/>
        <v>5.924779930454902</v>
      </c>
      <c r="K28" s="247">
        <f t="shared" si="6"/>
        <v>6.339514525586745</v>
      </c>
      <c r="L28" s="247">
        <f t="shared" si="6"/>
        <v>6.783280542377817</v>
      </c>
      <c r="M28" s="247">
        <f t="shared" si="6"/>
        <v>7.258110180344265</v>
      </c>
      <c r="N28" s="247">
        <f t="shared" si="6"/>
        <v>7.766177892968364</v>
      </c>
      <c r="O28" s="247">
        <f t="shared" si="6"/>
        <v>8.30981034547615</v>
      </c>
      <c r="P28" s="247">
        <f t="shared" si="6"/>
        <v>8.891497069659483</v>
      </c>
      <c r="Q28" s="247">
        <f t="shared" si="6"/>
        <v>9.513901864535647</v>
      </c>
      <c r="R28" s="247">
        <f t="shared" si="6"/>
        <v>10.179874995053142</v>
      </c>
      <c r="S28" s="247">
        <f t="shared" si="6"/>
        <v>10.892466244706862</v>
      </c>
      <c r="T28" s="247">
        <f t="shared" si="6"/>
        <v>11.654938881836346</v>
      </c>
      <c r="U28" s="247">
        <f t="shared" si="6"/>
        <v>12.470784603564889</v>
      </c>
      <c r="V28" s="247">
        <f t="shared" si="6"/>
        <v>13.343739525814433</v>
      </c>
      <c r="W28" s="247">
        <f t="shared" si="6"/>
        <v>14.277801292621445</v>
      </c>
      <c r="X28" s="247">
        <f t="shared" si="6"/>
        <v>15.277247383104948</v>
      </c>
      <c r="Y28" s="247">
        <f t="shared" si="6"/>
        <v>16.346654699922293</v>
      </c>
      <c r="Z28" s="247">
        <f t="shared" si="6"/>
        <v>17.490920528916853</v>
      </c>
      <c r="AA28" s="247">
        <f t="shared" si="6"/>
        <v>18.715284965941034</v>
      </c>
      <c r="AB28" s="247">
        <f t="shared" si="6"/>
        <v>20.025354913556907</v>
      </c>
      <c r="AC28" s="247">
        <f t="shared" si="6"/>
        <v>21.42712975750589</v>
      </c>
      <c r="AD28" s="247">
        <f t="shared" si="6"/>
        <v>22.927028840531307</v>
      </c>
      <c r="AE28" s="247">
        <f t="shared" si="6"/>
        <v>24.531920859368505</v>
      </c>
      <c r="AF28" s="247">
        <f t="shared" si="6"/>
        <v>26.2491553195243</v>
      </c>
    </row>
    <row r="29" spans="1:32" s="273" customFormat="1" ht="30">
      <c r="A29" s="270" t="s">
        <v>164</v>
      </c>
      <c r="B29" s="271"/>
      <c r="C29" s="272">
        <f>'конкурсные предложения'!B12*'конкурсная документация'!C47/(1-'конкурсные предложения'!B11)*(1-'конкурсная документация'!C31)</f>
        <v>348.83720930232556</v>
      </c>
      <c r="D29" s="272">
        <f>'конкурсные предложения'!C12*'конкурсная документация'!D47/(1-'конкурсные предложения'!C11)*(1-'конкурсная документация'!D31)</f>
        <v>344.82758620689657</v>
      </c>
      <c r="E29" s="272">
        <f>'конкурсные предложения'!D12*'конкурсная документация'!E47/(1-'конкурсные предложения'!D11)*(1-'конкурсная документация'!E31)</f>
        <v>344.82758620689657</v>
      </c>
      <c r="F29" s="272">
        <f>'конкурсные предложения'!E12*'конкурсная документация'!F47/(1-'конкурсные предложения'!E11)*(1-'конкурсная документация'!F31)</f>
        <v>344.82758620689657</v>
      </c>
      <c r="G29" s="272">
        <f>'конкурсные предложения'!F12*'конкурсная документация'!G47/(1-'конкурсные предложения'!F11)*(1-'конкурсная документация'!G31)</f>
        <v>344.82758620689657</v>
      </c>
      <c r="H29" s="272">
        <f>'конкурсные предложения'!G12*'конкурсная документация'!H47/(1-'конкурсные предложения'!G11)*(1-'конкурсная документация'!H31)</f>
        <v>344.82758620689657</v>
      </c>
      <c r="I29" s="272">
        <f>'конкурсные предложения'!H12*'конкурсная документация'!I47/(1-'конкурсные предложения'!H11)*(1-'конкурсная документация'!I31)</f>
        <v>344.82758620689657</v>
      </c>
      <c r="J29" s="272">
        <f>'конкурсные предложения'!I12*'конкурсная документация'!J47/(1-'конкурсные предложения'!I11)*(1-'конкурсная документация'!J31)</f>
        <v>344.82758620689657</v>
      </c>
      <c r="K29" s="272">
        <f>'конкурсные предложения'!J12*'конкурсная документация'!K47/(1-'конкурсные предложения'!J11)*(1-'конкурсная документация'!K31)</f>
        <v>344.82758620689657</v>
      </c>
      <c r="L29" s="272">
        <f>'конкурсные предложения'!K12*'конкурсная документация'!L47/(1-'конкурсные предложения'!K11)*(1-'конкурсная документация'!L31)</f>
        <v>344.82758620689657</v>
      </c>
      <c r="M29" s="272">
        <f>'конкурсные предложения'!L12*'конкурсная документация'!M47/(1-'конкурсные предложения'!L11)*(1-'конкурсная документация'!M31)</f>
        <v>344.82758620689657</v>
      </c>
      <c r="N29" s="272">
        <f>'конкурсные предложения'!M12*'конкурсная документация'!N47/(1-'конкурсные предложения'!M11)*(1-'конкурсная документация'!N31)</f>
        <v>344.82758620689657</v>
      </c>
      <c r="O29" s="272">
        <f>'конкурсные предложения'!N12*'конкурсная документация'!O47/(1-'конкурсные предложения'!N11)*(1-'конкурсная документация'!O31)</f>
        <v>344.82758620689657</v>
      </c>
      <c r="P29" s="272">
        <f>'конкурсные предложения'!O12*'конкурсная документация'!P47/(1-'конкурсные предложения'!O11)*(1-'конкурсная документация'!P31)</f>
        <v>344.82758620689657</v>
      </c>
      <c r="Q29" s="272">
        <f>'конкурсные предложения'!P12*'конкурсная документация'!Q47/(1-'конкурсные предложения'!P11)*(1-'конкурсная документация'!Q31)</f>
        <v>344.82758620689657</v>
      </c>
      <c r="R29" s="272">
        <f>'конкурсные предложения'!Q12*'конкурсная документация'!R47/(1-'конкурсные предложения'!Q11)*(1-'конкурсная документация'!R31)</f>
        <v>344.82758620689657</v>
      </c>
      <c r="S29" s="272">
        <f>'конкурсные предложения'!R12*'конкурсная документация'!S47/(1-'конкурсные предложения'!R11)*(1-'конкурсная документация'!S31)</f>
        <v>344.82758620689657</v>
      </c>
      <c r="T29" s="272">
        <f>'конкурсные предложения'!S12*'конкурсная документация'!T47/(1-'конкурсные предложения'!S11)*(1-'конкурсная документация'!T31)</f>
        <v>344.82758620689657</v>
      </c>
      <c r="U29" s="272">
        <f>'конкурсные предложения'!T12*'конкурсная документация'!U47/(1-'конкурсные предложения'!T11)*(1-'конкурсная документация'!U31)</f>
        <v>344.82758620689657</v>
      </c>
      <c r="V29" s="272">
        <f>'конкурсные предложения'!U12*'конкурсная документация'!V47/(1-'конкурсные предложения'!U11)*(1-'конкурсная документация'!V31)</f>
        <v>344.82758620689657</v>
      </c>
      <c r="W29" s="272">
        <f>'конкурсные предложения'!V12*'конкурсная документация'!W47/(1-'конкурсные предложения'!V11)*(1-'конкурсная документация'!W31)</f>
        <v>344.82758620689657</v>
      </c>
      <c r="X29" s="272">
        <f>'конкурсные предложения'!W12*'конкурсная документация'!X47/(1-'конкурсные предложения'!W11)*(1-'конкурсная документация'!X31)</f>
        <v>344.82758620689657</v>
      </c>
      <c r="Y29" s="272">
        <f>'конкурсные предложения'!X12*'конкурсная документация'!Y47/(1-'конкурсные предложения'!X11)*(1-'конкурсная документация'!Y31)</f>
        <v>344.82758620689657</v>
      </c>
      <c r="Z29" s="272">
        <f>'конкурсные предложения'!Y12*'конкурсная документация'!Z47/(1-'конкурсные предложения'!Y11)*(1-'конкурсная документация'!Z31)</f>
        <v>344.82758620689657</v>
      </c>
      <c r="AA29" s="272">
        <f>'конкурсные предложения'!Z12*'конкурсная документация'!AA47/(1-'конкурсные предложения'!Z11)*(1-'конкурсная документация'!AA31)</f>
        <v>344.82758620689657</v>
      </c>
      <c r="AB29" s="272">
        <f>'конкурсные предложения'!AA12*'конкурсная документация'!AB47/(1-'конкурсные предложения'!AA11)*(1-'конкурсная документация'!AB31)</f>
        <v>344.82758620689657</v>
      </c>
      <c r="AC29" s="272">
        <f>'конкурсные предложения'!AB12*'конкурсная документация'!AC47/(1-'конкурсные предложения'!AB11)*(1-'конкурсная документация'!AC31)</f>
        <v>344.82758620689657</v>
      </c>
      <c r="AD29" s="272">
        <f>'конкурсные предложения'!AC12*'конкурсная документация'!AD47/(1-'конкурсные предложения'!AC11)*(1-'конкурсная документация'!AD31)</f>
        <v>344.82758620689657</v>
      </c>
      <c r="AE29" s="272">
        <f>'конкурсные предложения'!AD12*'конкурсная документация'!AE47/(1-'конкурсные предложения'!AD11)*(1-'конкурсная документация'!AE31)</f>
        <v>344.82758620689657</v>
      </c>
      <c r="AF29" s="272">
        <f>'конкурсные предложения'!AE12*'конкурсная документация'!AF47/(1-'конкурсные предложения'!AE11)*(1-'конкурсная документация'!AF31)</f>
        <v>344.82758620689657</v>
      </c>
    </row>
    <row r="30" spans="1:32" s="273" customFormat="1" ht="29.25" customHeight="1">
      <c r="A30" s="270" t="s">
        <v>93</v>
      </c>
      <c r="B30" s="271"/>
      <c r="C30" s="272">
        <f>'конкурсная документация'!B12*(1+'конкурсная документация'!C18)</f>
        <v>10.700000000000001</v>
      </c>
      <c r="D30" s="272">
        <f>C30*(1+'конкурсная документация'!D18)</f>
        <v>11.449000000000002</v>
      </c>
      <c r="E30" s="272">
        <f>D30*(1+'конкурсная документация'!E18)</f>
        <v>12.250430000000003</v>
      </c>
      <c r="F30" s="272">
        <f>E30*(1+'конкурсная документация'!F18)</f>
        <v>13.107960100000005</v>
      </c>
      <c r="G30" s="272">
        <f>F30*(1+'конкурсная документация'!G18)</f>
        <v>14.025517307000007</v>
      </c>
      <c r="H30" s="272">
        <f>G30*(1+'конкурсная документация'!H18)</f>
        <v>15.007303518490009</v>
      </c>
      <c r="I30" s="272">
        <f>H30*(1+'конкурсная документация'!I18)</f>
        <v>16.05781476478431</v>
      </c>
      <c r="J30" s="272">
        <f>I30*(1+'конкурсная документация'!J18)</f>
        <v>17.181861798319215</v>
      </c>
      <c r="K30" s="272">
        <f>J30*(1+'конкурсная документация'!K18)</f>
        <v>18.38459212420156</v>
      </c>
      <c r="L30" s="272">
        <f>K30*(1+'конкурсная документация'!L18)</f>
        <v>19.67151357289567</v>
      </c>
      <c r="M30" s="272">
        <f>L30*(1+'конкурсная документация'!M18)</f>
        <v>21.04851952299837</v>
      </c>
      <c r="N30" s="272">
        <f>M30*(1+'конкурсная документация'!N18)</f>
        <v>22.521915889608255</v>
      </c>
      <c r="O30" s="272">
        <f>N30*(1+'конкурсная документация'!O18)</f>
        <v>24.098450001880835</v>
      </c>
      <c r="P30" s="272">
        <f>O30*(1+'конкурсная документация'!P18)</f>
        <v>25.785341502012496</v>
      </c>
      <c r="Q30" s="272">
        <f>P30*(1+'конкурсная документация'!Q18)</f>
        <v>27.590315407153373</v>
      </c>
      <c r="R30" s="272">
        <f>Q30*(1+'конкурсная документация'!R18)</f>
        <v>29.52163748565411</v>
      </c>
      <c r="S30" s="272">
        <f>R30*(1+'конкурсная документация'!S18)</f>
        <v>31.5881521096499</v>
      </c>
      <c r="T30" s="272">
        <f>S30*(1+'конкурсная документация'!T18)</f>
        <v>33.7993227573254</v>
      </c>
      <c r="U30" s="272">
        <f>T30*(1+'конкурсная документация'!U18)</f>
        <v>36.16527535033818</v>
      </c>
      <c r="V30" s="272">
        <f>U30*(1+'конкурсная документация'!V18)</f>
        <v>38.69684462486185</v>
      </c>
      <c r="W30" s="272">
        <f>V30*(1+'конкурсная документация'!W18)</f>
        <v>41.40562374860219</v>
      </c>
      <c r="X30" s="272">
        <f>W30*(1+'конкурсная документация'!X18)</f>
        <v>44.304017411004345</v>
      </c>
      <c r="Y30" s="272">
        <f>X30*(1+'конкурсная документация'!Y18)</f>
        <v>47.40529862977465</v>
      </c>
      <c r="Z30" s="272">
        <f>Y30*(1+'конкурсная документация'!Z18)</f>
        <v>50.723669533858875</v>
      </c>
      <c r="AA30" s="272">
        <f>Z30*(1+'конкурсная документация'!AA18)</f>
        <v>54.274326401229</v>
      </c>
      <c r="AB30" s="272">
        <f>AA30*(1+'конкурсная документация'!AB18)</f>
        <v>58.07352924931503</v>
      </c>
      <c r="AC30" s="272">
        <f>AB30*(1+'конкурсная документация'!AC18)</f>
        <v>62.13867629676709</v>
      </c>
      <c r="AD30" s="272">
        <f>AC30*(1+'конкурсная документация'!AD18)</f>
        <v>66.48838363754079</v>
      </c>
      <c r="AE30" s="272">
        <f>AD30*(1+'конкурсная документация'!AE18)</f>
        <v>71.14257049216866</v>
      </c>
      <c r="AF30" s="272">
        <f>AE30*(1+'конкурсная документация'!AF18)</f>
        <v>76.12255042662046</v>
      </c>
    </row>
    <row r="31" spans="1:32" s="106" customFormat="1" ht="16.5" customHeight="1">
      <c r="A31" s="252" t="s">
        <v>97</v>
      </c>
      <c r="B31" s="227"/>
      <c r="C31" s="247">
        <f>C32*C33/1000</f>
        <v>1.761627906976744</v>
      </c>
      <c r="D31" s="247">
        <f>D32*D33/1000</f>
        <v>1.8806896551724137</v>
      </c>
      <c r="E31" s="247">
        <f>E32*E33/1000</f>
        <v>2.031144827586207</v>
      </c>
      <c r="F31" s="247">
        <f>F32*F33/1000</f>
        <v>2.1733249655172417</v>
      </c>
      <c r="G31" s="247">
        <f aca="true" t="shared" si="7" ref="G31:AF31">G32*G33/1000</f>
        <v>2.3037244634482765</v>
      </c>
      <c r="H31" s="247">
        <f t="shared" si="7"/>
        <v>2.441947931255173</v>
      </c>
      <c r="I31" s="247">
        <f t="shared" si="7"/>
        <v>2.588464807130484</v>
      </c>
      <c r="J31" s="247">
        <f t="shared" si="7"/>
        <v>2.743772695558313</v>
      </c>
      <c r="K31" s="247">
        <f t="shared" si="7"/>
        <v>2.908399057291812</v>
      </c>
      <c r="L31" s="247">
        <f t="shared" si="7"/>
        <v>3.082903000729321</v>
      </c>
      <c r="M31" s="247">
        <f t="shared" si="7"/>
        <v>3.26787718077308</v>
      </c>
      <c r="N31" s="247">
        <f t="shared" si="7"/>
        <v>3.4639498116194654</v>
      </c>
      <c r="O31" s="247">
        <f t="shared" si="7"/>
        <v>3.6717868003166334</v>
      </c>
      <c r="P31" s="247">
        <f t="shared" si="7"/>
        <v>3.892094008335632</v>
      </c>
      <c r="Q31" s="247">
        <f t="shared" si="7"/>
        <v>4.12561964883577</v>
      </c>
      <c r="R31" s="247">
        <f t="shared" si="7"/>
        <v>4.373156827765916</v>
      </c>
      <c r="S31" s="247">
        <f t="shared" si="7"/>
        <v>4.635546237431872</v>
      </c>
      <c r="T31" s="247">
        <f t="shared" si="7"/>
        <v>4.913679011677785</v>
      </c>
      <c r="U31" s="247">
        <f t="shared" si="7"/>
        <v>5.208499752378453</v>
      </c>
      <c r="V31" s="247">
        <f t="shared" si="7"/>
        <v>5.521009737521159</v>
      </c>
      <c r="W31" s="247">
        <f t="shared" si="7"/>
        <v>5.852270321772428</v>
      </c>
      <c r="X31" s="247">
        <f t="shared" si="7"/>
        <v>6.203406541078774</v>
      </c>
      <c r="Y31" s="247">
        <f t="shared" si="7"/>
        <v>6.5756109335435005</v>
      </c>
      <c r="Z31" s="247">
        <f t="shared" si="7"/>
        <v>6.970147589556111</v>
      </c>
      <c r="AA31" s="247">
        <f t="shared" si="7"/>
        <v>7.388356444929478</v>
      </c>
      <c r="AB31" s="247">
        <f t="shared" si="7"/>
        <v>7.831657831625247</v>
      </c>
      <c r="AC31" s="247">
        <f t="shared" si="7"/>
        <v>8.301557301522763</v>
      </c>
      <c r="AD31" s="247">
        <f t="shared" si="7"/>
        <v>8.79965073961413</v>
      </c>
      <c r="AE31" s="247">
        <f t="shared" si="7"/>
        <v>9.327629783990979</v>
      </c>
      <c r="AF31" s="247">
        <f t="shared" si="7"/>
        <v>9.887287571030438</v>
      </c>
    </row>
    <row r="32" spans="1:32" s="273" customFormat="1" ht="45.75" customHeight="1">
      <c r="A32" s="270" t="s">
        <v>99</v>
      </c>
      <c r="B32" s="271"/>
      <c r="C32" s="272">
        <f>'конкурсная документация'!C47/(1-'конкурсные предложения'!B11)*'конкурсная документация'!C31</f>
        <v>174.41860465116278</v>
      </c>
      <c r="D32" s="272">
        <f>'конкурсная документация'!D47/(1-'конкурсные предложения'!C11)*'конкурсная документация'!D31</f>
        <v>172.41379310344828</v>
      </c>
      <c r="E32" s="272">
        <f>'конкурсная документация'!E47/(1-'конкурсные предложения'!D11)*'конкурсная документация'!E31</f>
        <v>172.41379310344828</v>
      </c>
      <c r="F32" s="272">
        <f>'конкурсная документация'!F47/(1-'конкурсные предложения'!E11)*'конкурсная документация'!F31</f>
        <v>172.41379310344828</v>
      </c>
      <c r="G32" s="272">
        <f>'конкурсная документация'!G47/(1-'конкурсные предложения'!F11)*'конкурсная документация'!G31</f>
        <v>172.41379310344828</v>
      </c>
      <c r="H32" s="272">
        <f>'конкурсная документация'!H47/(1-'конкурсные предложения'!G11)*'конкурсная документация'!H31</f>
        <v>172.41379310344828</v>
      </c>
      <c r="I32" s="272">
        <f>'конкурсная документация'!I47/(1-'конкурсные предложения'!H11)*'конкурсная документация'!I31</f>
        <v>172.41379310344828</v>
      </c>
      <c r="J32" s="272">
        <f>'конкурсная документация'!J47/(1-'конкурсные предложения'!I11)*'конкурсная документация'!J31</f>
        <v>172.41379310344828</v>
      </c>
      <c r="K32" s="272">
        <f>'конкурсная документация'!K47/(1-'конкурсные предложения'!J11)*'конкурсная документация'!K31</f>
        <v>172.41379310344828</v>
      </c>
      <c r="L32" s="272">
        <f>'конкурсная документация'!L47/(1-'конкурсные предложения'!K11)*'конкурсная документация'!L31</f>
        <v>172.41379310344828</v>
      </c>
      <c r="M32" s="272">
        <f>'конкурсная документация'!M47/(1-'конкурсные предложения'!L11)*'конкурсная документация'!M31</f>
        <v>172.41379310344828</v>
      </c>
      <c r="N32" s="272">
        <f>'конкурсная документация'!N47/(1-'конкурсные предложения'!M11)*'конкурсная документация'!N31</f>
        <v>172.41379310344828</v>
      </c>
      <c r="O32" s="272">
        <f>'конкурсная документация'!O47/(1-'конкурсные предложения'!N11)*'конкурсная документация'!O31</f>
        <v>172.41379310344828</v>
      </c>
      <c r="P32" s="272">
        <f>'конкурсная документация'!P47/(1-'конкурсные предложения'!O11)*'конкурсная документация'!P31</f>
        <v>172.41379310344828</v>
      </c>
      <c r="Q32" s="272">
        <f>'конкурсная документация'!Q47/(1-'конкурсные предложения'!P11)*'конкурсная документация'!Q31</f>
        <v>172.41379310344828</v>
      </c>
      <c r="R32" s="272">
        <f>'конкурсная документация'!R47/(1-'конкурсные предложения'!Q11)*'конкурсная документация'!R31</f>
        <v>172.41379310344828</v>
      </c>
      <c r="S32" s="272">
        <f>'конкурсная документация'!S47/(1-'конкурсные предложения'!R11)*'конкурсная документация'!S31</f>
        <v>172.41379310344828</v>
      </c>
      <c r="T32" s="272">
        <f>'конкурсная документация'!T47/(1-'конкурсные предложения'!S11)*'конкурсная документация'!T31</f>
        <v>172.41379310344828</v>
      </c>
      <c r="U32" s="272">
        <f>'конкурсная документация'!U47/(1-'конкурсные предложения'!T11)*'конкурсная документация'!U31</f>
        <v>172.41379310344828</v>
      </c>
      <c r="V32" s="272">
        <f>'конкурсная документация'!V47/(1-'конкурсные предложения'!U11)*'конкурсная документация'!V31</f>
        <v>172.41379310344828</v>
      </c>
      <c r="W32" s="272">
        <f>'конкурсная документация'!W47/(1-'конкурсные предложения'!V11)*'конкурсная документация'!W31</f>
        <v>172.41379310344828</v>
      </c>
      <c r="X32" s="272">
        <f>'конкурсная документация'!X47/(1-'конкурсные предложения'!W11)*'конкурсная документация'!X31</f>
        <v>172.41379310344828</v>
      </c>
      <c r="Y32" s="272">
        <f>'конкурсная документация'!Y47/(1-'конкурсные предложения'!X11)*'конкурсная документация'!Y31</f>
        <v>172.41379310344828</v>
      </c>
      <c r="Z32" s="272">
        <f>'конкурсная документация'!Z47/(1-'конкурсные предложения'!Y11)*'конкурсная документация'!Z31</f>
        <v>172.41379310344828</v>
      </c>
      <c r="AA32" s="272">
        <f>'конкурсная документация'!AA47/(1-'конкурсные предложения'!Z11)*'конкурсная документация'!AA31</f>
        <v>172.41379310344828</v>
      </c>
      <c r="AB32" s="272">
        <f>'конкурсная документация'!AB47/(1-'конкурсные предложения'!AA11)*'конкурсная документация'!AB31</f>
        <v>172.41379310344828</v>
      </c>
      <c r="AC32" s="272">
        <f>'конкурсная документация'!AC47/(1-'конкурсные предложения'!AB11)*'конкурсная документация'!AC31</f>
        <v>172.41379310344828</v>
      </c>
      <c r="AD32" s="272">
        <f>'конкурсная документация'!AD47/(1-'конкурсные предложения'!AC11)*'конкурсная документация'!AD31</f>
        <v>172.41379310344828</v>
      </c>
      <c r="AE32" s="272">
        <f>'конкурсная документация'!AE47/(1-'конкурсные предложения'!AD11)*'конкурсная документация'!AE31</f>
        <v>172.41379310344828</v>
      </c>
      <c r="AF32" s="272">
        <f>'конкурсная документация'!AF47/(1-'конкурсные предложения'!AE11)*'конкурсная документация'!AF31</f>
        <v>172.41379310344828</v>
      </c>
    </row>
    <row r="33" spans="1:32" s="273" customFormat="1" ht="45" customHeight="1">
      <c r="A33" s="270" t="s">
        <v>96</v>
      </c>
      <c r="B33" s="271"/>
      <c r="C33" s="272">
        <f>'конкурсная документация'!$B$13*(1+'конкурсная документация'!C22)</f>
        <v>10.1</v>
      </c>
      <c r="D33" s="272">
        <f>C33*(1+'конкурсная документация'!D22)</f>
        <v>10.908</v>
      </c>
      <c r="E33" s="272">
        <f>D33*(1+'конкурсная документация'!E22)</f>
        <v>11.78064</v>
      </c>
      <c r="F33" s="272">
        <f>E33*(1+'конкурсная документация'!F22)</f>
        <v>12.605284800000002</v>
      </c>
      <c r="G33" s="272">
        <f>F33*(1+'конкурсная документация'!G22)</f>
        <v>13.361601888000003</v>
      </c>
      <c r="H33" s="272">
        <f>G33*(1+'конкурсная документация'!H22)</f>
        <v>14.163298001280003</v>
      </c>
      <c r="I33" s="272">
        <f>H33*(1+'конкурсная документация'!I22)</f>
        <v>15.013095881356804</v>
      </c>
      <c r="J33" s="272">
        <f>I33*(1+'конкурсная документация'!J22)</f>
        <v>15.913881634238214</v>
      </c>
      <c r="K33" s="272">
        <f>J33*(1+'конкурсная документация'!K22)</f>
        <v>16.868714532292508</v>
      </c>
      <c r="L33" s="272">
        <f>K33*(1+'конкурсная документация'!L22)</f>
        <v>17.88083740423006</v>
      </c>
      <c r="M33" s="272">
        <f>L33*(1+'конкурсная документация'!M22)</f>
        <v>18.953687648483864</v>
      </c>
      <c r="N33" s="272">
        <f>M33*(1+'конкурсная документация'!N22)</f>
        <v>20.090908907392897</v>
      </c>
      <c r="O33" s="272">
        <f>N33*(1+'конкурсная документация'!O22)</f>
        <v>21.296363441836473</v>
      </c>
      <c r="P33" s="272">
        <f>O33*(1+'конкурсная документация'!P22)</f>
        <v>22.574145248346664</v>
      </c>
      <c r="Q33" s="272">
        <f>P33*(1+'конкурсная документация'!Q22)</f>
        <v>23.928593963247465</v>
      </c>
      <c r="R33" s="272">
        <f>Q33*(1+'конкурсная документация'!R22)</f>
        <v>25.364309601042315</v>
      </c>
      <c r="S33" s="272">
        <f>R33*(1+'конкурсная документация'!S22)</f>
        <v>26.886168177104857</v>
      </c>
      <c r="T33" s="272">
        <f>S33*(1+'конкурсная документация'!T22)</f>
        <v>28.49933826773115</v>
      </c>
      <c r="U33" s="272">
        <f>T33*(1+'конкурсная документация'!U22)</f>
        <v>30.20929856379502</v>
      </c>
      <c r="V33" s="272">
        <f>U33*(1+'конкурсная документация'!V22)</f>
        <v>32.02185647762272</v>
      </c>
      <c r="W33" s="272">
        <f>V33*(1+'конкурсная документация'!W22)</f>
        <v>33.943167866280085</v>
      </c>
      <c r="X33" s="272">
        <f>W33*(1+'конкурсная документация'!X22)</f>
        <v>35.97975793825689</v>
      </c>
      <c r="Y33" s="272">
        <f>X33*(1+'конкурсная документация'!Y22)</f>
        <v>38.1385434145523</v>
      </c>
      <c r="Z33" s="272">
        <f>Y33*(1+'конкурсная документация'!Z22)</f>
        <v>40.42685601942544</v>
      </c>
      <c r="AA33" s="272">
        <f>Z33*(1+'конкурсная документация'!AA22)</f>
        <v>42.85246738059097</v>
      </c>
      <c r="AB33" s="272">
        <f>AA33*(1+'конкурсная документация'!AB22)</f>
        <v>45.42361542342643</v>
      </c>
      <c r="AC33" s="272">
        <f>AB33*(1+'конкурсная документация'!AC22)</f>
        <v>48.14903234883202</v>
      </c>
      <c r="AD33" s="272">
        <f>AC33*(1+'конкурсная документация'!AD22)</f>
        <v>51.03797428976195</v>
      </c>
      <c r="AE33" s="272">
        <f>AD33*(1+'конкурсная документация'!AE22)</f>
        <v>54.10025274714767</v>
      </c>
      <c r="AF33" s="272">
        <f>AE33*(1+'конкурсная документация'!AF22)</f>
        <v>57.34626791197653</v>
      </c>
    </row>
    <row r="34" spans="1:32" s="106" customFormat="1" ht="45" customHeight="1">
      <c r="A34" s="253" t="s">
        <v>129</v>
      </c>
      <c r="B34" s="227"/>
      <c r="C34" s="246">
        <f>C35*C36/1000</f>
        <v>2.8779069767441863</v>
      </c>
      <c r="D34" s="246">
        <f aca="true" t="shared" si="8" ref="D34:AF34">D35*D36/1000</f>
        <v>3.165697674418605</v>
      </c>
      <c r="E34" s="246">
        <f t="shared" si="8"/>
        <v>3.3872965116279072</v>
      </c>
      <c r="F34" s="246">
        <f t="shared" si="8"/>
        <v>3.5905343023255822</v>
      </c>
      <c r="G34" s="246">
        <f t="shared" si="8"/>
        <v>3.8059663604651175</v>
      </c>
      <c r="H34" s="246">
        <f t="shared" si="8"/>
        <v>4.034324342093024</v>
      </c>
      <c r="I34" s="246">
        <f t="shared" si="8"/>
        <v>4.276383802618607</v>
      </c>
      <c r="J34" s="246">
        <f t="shared" si="8"/>
        <v>4.532966830775724</v>
      </c>
      <c r="K34" s="246">
        <f t="shared" si="8"/>
        <v>4.804944840622268</v>
      </c>
      <c r="L34" s="246">
        <f t="shared" si="8"/>
        <v>5.093241531059603</v>
      </c>
      <c r="M34" s="246">
        <f t="shared" si="8"/>
        <v>5.398836022923179</v>
      </c>
      <c r="N34" s="246">
        <f t="shared" si="8"/>
        <v>5.722766184298571</v>
      </c>
      <c r="O34" s="246">
        <f t="shared" si="8"/>
        <v>6.0661321553564855</v>
      </c>
      <c r="P34" s="246">
        <f t="shared" si="8"/>
        <v>6.430100084677875</v>
      </c>
      <c r="Q34" s="246">
        <f t="shared" si="8"/>
        <v>6.815906089758549</v>
      </c>
      <c r="R34" s="246">
        <f t="shared" si="8"/>
        <v>7.2248604551440625</v>
      </c>
      <c r="S34" s="246">
        <f t="shared" si="8"/>
        <v>7.658352082452707</v>
      </c>
      <c r="T34" s="246">
        <f t="shared" si="8"/>
        <v>8.11785320739987</v>
      </c>
      <c r="U34" s="246">
        <f t="shared" si="8"/>
        <v>8.604924399843863</v>
      </c>
      <c r="V34" s="246">
        <f t="shared" si="8"/>
        <v>9.121219863834495</v>
      </c>
      <c r="W34" s="246">
        <f t="shared" si="8"/>
        <v>9.668493055664564</v>
      </c>
      <c r="X34" s="246">
        <f t="shared" si="8"/>
        <v>10.24860263900444</v>
      </c>
      <c r="Y34" s="246">
        <f t="shared" si="8"/>
        <v>10.863518797344708</v>
      </c>
      <c r="Z34" s="246">
        <f t="shared" si="8"/>
        <v>11.515329925185391</v>
      </c>
      <c r="AA34" s="246">
        <f t="shared" si="8"/>
        <v>12.206249720696515</v>
      </c>
      <c r="AB34" s="246">
        <f t="shared" si="8"/>
        <v>12.93862470393831</v>
      </c>
      <c r="AC34" s="246">
        <f t="shared" si="8"/>
        <v>13.714942186174607</v>
      </c>
      <c r="AD34" s="246">
        <f t="shared" si="8"/>
        <v>14.537838717345085</v>
      </c>
      <c r="AE34" s="246">
        <f t="shared" si="8"/>
        <v>15.410109040385793</v>
      </c>
      <c r="AF34" s="246">
        <f t="shared" si="8"/>
        <v>16.33471558280894</v>
      </c>
    </row>
    <row r="35" spans="1:32" s="273" customFormat="1" ht="64.5" customHeight="1">
      <c r="A35" s="270" t="s">
        <v>132</v>
      </c>
      <c r="B35" s="271"/>
      <c r="C35" s="272">
        <f>'конкурсная документация'!C$33*'конкурсная документация'!C47/(1-'конкурсные предложения'!$B$11)</f>
        <v>174.41860465116278</v>
      </c>
      <c r="D35" s="272">
        <f>'конкурсная документация'!D$33*'конкурсная документация'!D47/(1-'конкурсные предложения'!$B$11)</f>
        <v>174.41860465116278</v>
      </c>
      <c r="E35" s="272">
        <f>'конкурсная документация'!E$33*'конкурсная документация'!E47/(1-'конкурсные предложения'!$B$11)</f>
        <v>174.41860465116278</v>
      </c>
      <c r="F35" s="272">
        <f>'конкурсная документация'!F$33*'конкурсная документация'!F47/(1-'конкурсные предложения'!$B$11)</f>
        <v>174.41860465116278</v>
      </c>
      <c r="G35" s="272">
        <f>'конкурсная документация'!G$33*'конкурсная документация'!G47/(1-'конкурсные предложения'!$B$11)</f>
        <v>174.41860465116278</v>
      </c>
      <c r="H35" s="272">
        <f>'конкурсная документация'!H$33*'конкурсная документация'!H47/(1-'конкурсные предложения'!$B$11)</f>
        <v>174.41860465116278</v>
      </c>
      <c r="I35" s="272">
        <f>'конкурсная документация'!I$33*'конкурсная документация'!I47/(1-'конкурсные предложения'!$B$11)</f>
        <v>174.41860465116278</v>
      </c>
      <c r="J35" s="272">
        <f>'конкурсная документация'!J$33*'конкурсная документация'!J47/(1-'конкурсные предложения'!$B$11)</f>
        <v>174.41860465116278</v>
      </c>
      <c r="K35" s="272">
        <f>'конкурсная документация'!K$33*'конкурсная документация'!K47/(1-'конкурсные предложения'!$B$11)</f>
        <v>174.41860465116278</v>
      </c>
      <c r="L35" s="272">
        <f>'конкурсная документация'!L$33*'конкурсная документация'!L47/(1-'конкурсные предложения'!$B$11)</f>
        <v>174.41860465116278</v>
      </c>
      <c r="M35" s="272">
        <f>'конкурсная документация'!M$33*'конкурсная документация'!M47/(1-'конкурсные предложения'!$B$11)</f>
        <v>174.41860465116278</v>
      </c>
      <c r="N35" s="272">
        <f>'конкурсная документация'!N$33*'конкурсная документация'!N47/(1-'конкурсные предложения'!$B$11)</f>
        <v>174.41860465116278</v>
      </c>
      <c r="O35" s="272">
        <f>'конкурсная документация'!O$33*'конкурсная документация'!O47/(1-'конкурсные предложения'!$B$11)</f>
        <v>174.41860465116278</v>
      </c>
      <c r="P35" s="272">
        <f>'конкурсная документация'!P$33*'конкурсная документация'!P47/(1-'конкурсные предложения'!$B$11)</f>
        <v>174.41860465116278</v>
      </c>
      <c r="Q35" s="272">
        <f>'конкурсная документация'!Q$33*'конкурсная документация'!Q47/(1-'конкурсные предложения'!$B$11)</f>
        <v>174.41860465116278</v>
      </c>
      <c r="R35" s="272">
        <f>'конкурсная документация'!R$33*'конкурсная документация'!R47/(1-'конкурсные предложения'!$B$11)</f>
        <v>174.41860465116278</v>
      </c>
      <c r="S35" s="272">
        <f>'конкурсная документация'!S$33*'конкурсная документация'!S47/(1-'конкурсные предложения'!$B$11)</f>
        <v>174.41860465116278</v>
      </c>
      <c r="T35" s="272">
        <f>'конкурсная документация'!T$33*'конкурсная документация'!T47/(1-'конкурсные предложения'!$B$11)</f>
        <v>174.41860465116278</v>
      </c>
      <c r="U35" s="272">
        <f>'конкурсная документация'!U$33*'конкурсная документация'!U47/(1-'конкурсные предложения'!$B$11)</f>
        <v>174.41860465116278</v>
      </c>
      <c r="V35" s="272">
        <f>'конкурсная документация'!V$33*'конкурсная документация'!V47/(1-'конкурсные предложения'!$B$11)</f>
        <v>174.41860465116278</v>
      </c>
      <c r="W35" s="272">
        <f>'конкурсная документация'!W$33*'конкурсная документация'!W47/(1-'конкурсные предложения'!$B$11)</f>
        <v>174.41860465116278</v>
      </c>
      <c r="X35" s="272">
        <f>'конкурсная документация'!X$33*'конкурсная документация'!X47/(1-'конкурсные предложения'!$B$11)</f>
        <v>174.41860465116278</v>
      </c>
      <c r="Y35" s="272">
        <f>'конкурсная документация'!Y$33*'конкурсная документация'!Y47/(1-'конкурсные предложения'!$B$11)</f>
        <v>174.41860465116278</v>
      </c>
      <c r="Z35" s="272">
        <f>'конкурсная документация'!Z$33*'конкурсная документация'!Z47/(1-'конкурсные предложения'!$B$11)</f>
        <v>174.41860465116278</v>
      </c>
      <c r="AA35" s="272">
        <f>'конкурсная документация'!AA$33*'конкурсная документация'!AA47/(1-'конкурсные предложения'!$B$11)</f>
        <v>174.41860465116278</v>
      </c>
      <c r="AB35" s="272">
        <f>'конкурсная документация'!AB$33*'конкурсная документация'!AB47/(1-'конкурсные предложения'!$B$11)</f>
        <v>174.41860465116278</v>
      </c>
      <c r="AC35" s="272">
        <f>'конкурсная документация'!AC$33*'конкурсная документация'!AC47/(1-'конкурсные предложения'!$B$11)</f>
        <v>174.41860465116278</v>
      </c>
      <c r="AD35" s="272">
        <f>'конкурсная документация'!AD$33*'конкурсная документация'!AD47/(1-'конкурсные предложения'!$B$11)</f>
        <v>174.41860465116278</v>
      </c>
      <c r="AE35" s="272">
        <f>'конкурсная документация'!AE$33*'конкурсная документация'!AE47/(1-'конкурсные предложения'!$B$11)</f>
        <v>174.41860465116278</v>
      </c>
      <c r="AF35" s="272">
        <f>'конкурсная документация'!AF$33*'конкурсная документация'!AF47/(1-'конкурсные предложения'!$B$11)</f>
        <v>174.41860465116278</v>
      </c>
    </row>
    <row r="36" spans="1:32" s="106" customFormat="1" ht="45.75" customHeight="1">
      <c r="A36" s="181" t="s">
        <v>131</v>
      </c>
      <c r="B36" s="227"/>
      <c r="C36" s="246">
        <f>'конкурсная документация'!$B$14*(1+'конкурсная документация'!C$20)</f>
        <v>16.5</v>
      </c>
      <c r="D36" s="246">
        <f>C36*(1+'конкурсная документация'!D$20)</f>
        <v>18.150000000000002</v>
      </c>
      <c r="E36" s="246">
        <f>D36*(1+'конкурсная документация'!E$20)</f>
        <v>19.420500000000004</v>
      </c>
      <c r="F36" s="246">
        <f>E36*(1+'конкурсная документация'!F$20)</f>
        <v>20.585730000000005</v>
      </c>
      <c r="G36" s="246">
        <f>F36*(1+'конкурсная документация'!G$20)</f>
        <v>21.820873800000008</v>
      </c>
      <c r="H36" s="246">
        <f>G36*(1+'конкурсная документация'!H$20)</f>
        <v>23.13012622800001</v>
      </c>
      <c r="I36" s="246">
        <f>H36*(1+'конкурсная документация'!I$20)</f>
        <v>24.517933801680012</v>
      </c>
      <c r="J36" s="246">
        <f>I36*(1+'конкурсная документация'!J$20)</f>
        <v>25.989009829780816</v>
      </c>
      <c r="K36" s="246">
        <f>J36*(1+'конкурсная документация'!K$20)</f>
        <v>27.548350419567665</v>
      </c>
      <c r="L36" s="246">
        <f>K36*(1+'конкурсная документация'!L$20)</f>
        <v>29.201251444741725</v>
      </c>
      <c r="M36" s="246">
        <f>L36*(1+'конкурсная документация'!M$20)</f>
        <v>30.95332653142623</v>
      </c>
      <c r="N36" s="246">
        <f>M36*(1+'конкурсная документация'!N$20)</f>
        <v>32.81052612331181</v>
      </c>
      <c r="O36" s="246">
        <f>N36*(1+'конкурсная документация'!O$20)</f>
        <v>34.77915769071052</v>
      </c>
      <c r="P36" s="246">
        <f>O36*(1+'конкурсная документация'!P$20)</f>
        <v>36.865907152153156</v>
      </c>
      <c r="Q36" s="246">
        <f>P36*(1+'конкурсная документация'!Q$20)</f>
        <v>39.07786158128235</v>
      </c>
      <c r="R36" s="246">
        <f>Q36*(1+'конкурсная документация'!R$20)</f>
        <v>41.42253327615929</v>
      </c>
      <c r="S36" s="246">
        <f>R36*(1+'конкурсная документация'!S$20)</f>
        <v>43.907885272728855</v>
      </c>
      <c r="T36" s="246">
        <f>S36*(1+'конкурсная документация'!T$20)</f>
        <v>46.54235838909259</v>
      </c>
      <c r="U36" s="246">
        <f>T36*(1+'конкурсная документация'!U$20)</f>
        <v>49.33489989243815</v>
      </c>
      <c r="V36" s="246">
        <f>U36*(1+'конкурсная документация'!V$20)</f>
        <v>52.29499388598445</v>
      </c>
      <c r="W36" s="246">
        <f>V36*(1+'конкурсная документация'!W$20)</f>
        <v>55.43269351914351</v>
      </c>
      <c r="X36" s="246">
        <f>W36*(1+'конкурсная документация'!X$20)</f>
        <v>58.75865513029213</v>
      </c>
      <c r="Y36" s="246">
        <f>X36*(1+'конкурсная документация'!Y$20)</f>
        <v>62.28417443810966</v>
      </c>
      <c r="Z36" s="246">
        <f>Y36*(1+'конкурсная документация'!Z$20)</f>
        <v>66.02122490439625</v>
      </c>
      <c r="AA36" s="246">
        <f>Z36*(1+'конкурсная документация'!AA$20)</f>
        <v>69.98249839866003</v>
      </c>
      <c r="AB36" s="246">
        <f>AA36*(1+'конкурсная документация'!AB$20)</f>
        <v>74.18144830257964</v>
      </c>
      <c r="AC36" s="246">
        <f>AB36*(1+'конкурсная документация'!AC$20)</f>
        <v>78.63233520073442</v>
      </c>
      <c r="AD36" s="246">
        <f>AC36*(1+'конкурсная документация'!AD$20)</f>
        <v>83.35027531277849</v>
      </c>
      <c r="AE36" s="246">
        <f>AD36*(1+'конкурсная документация'!AE$20)</f>
        <v>88.35129183154521</v>
      </c>
      <c r="AF36" s="246">
        <f>AE36*(1+'конкурсная документация'!AF$20)</f>
        <v>93.65236934143793</v>
      </c>
    </row>
    <row r="37" spans="1:32" s="106" customFormat="1" ht="15">
      <c r="A37" s="168" t="s">
        <v>8</v>
      </c>
      <c r="B37" s="247"/>
      <c r="C37" s="247">
        <f>SUM(C38:C41)</f>
        <v>776.911761627907</v>
      </c>
      <c r="D37" s="247">
        <f aca="true" t="shared" si="9" ref="D37:P37">SUM(D38:D41)</f>
        <v>808.5213587457398</v>
      </c>
      <c r="E37" s="247">
        <f t="shared" si="9"/>
        <v>831.2047264385127</v>
      </c>
      <c r="F37" s="247">
        <f t="shared" si="9"/>
        <v>857.6858078470874</v>
      </c>
      <c r="G37" s="247">
        <f t="shared" si="9"/>
        <v>885.5745720215074</v>
      </c>
      <c r="H37" s="247">
        <f t="shared" si="9"/>
        <v>914.9100688485385</v>
      </c>
      <c r="I37" s="247">
        <f t="shared" si="9"/>
        <v>945.7935355201546</v>
      </c>
      <c r="J37" s="247">
        <f t="shared" si="9"/>
        <v>978.3332937151989</v>
      </c>
      <c r="K37" s="247">
        <f t="shared" si="9"/>
        <v>1012.668829420064</v>
      </c>
      <c r="L37" s="247">
        <f t="shared" si="9"/>
        <v>1048.8783857881162</v>
      </c>
      <c r="M37" s="247">
        <f t="shared" si="9"/>
        <v>1089.6005799729876</v>
      </c>
      <c r="N37" s="247">
        <f t="shared" si="9"/>
        <v>1137.8091477419503</v>
      </c>
      <c r="O37" s="247">
        <f t="shared" si="9"/>
        <v>1194.6983712351241</v>
      </c>
      <c r="P37" s="247">
        <f t="shared" si="9"/>
        <v>1260.823762340878</v>
      </c>
      <c r="Q37" s="247">
        <f aca="true" t="shared" si="10" ref="Q37:AF37">SUM(Q38:Q41)</f>
        <v>1336.6151211660863</v>
      </c>
      <c r="R37" s="247">
        <f t="shared" si="10"/>
        <v>1422.6406959867884</v>
      </c>
      <c r="S37" s="247">
        <f t="shared" si="10"/>
        <v>1519.465176291044</v>
      </c>
      <c r="T37" s="247">
        <f t="shared" si="10"/>
        <v>1627.6821609516278</v>
      </c>
      <c r="U37" s="247">
        <f t="shared" si="10"/>
        <v>1747.0152206597395</v>
      </c>
      <c r="V37" s="247">
        <f t="shared" si="10"/>
        <v>1879.866704698106</v>
      </c>
      <c r="W37" s="247">
        <f t="shared" si="10"/>
        <v>2026.0747710566227</v>
      </c>
      <c r="X37" s="247">
        <f t="shared" si="10"/>
        <v>2186.0593083103454</v>
      </c>
      <c r="Y37" s="247">
        <f t="shared" si="10"/>
        <v>2361.0326084261906</v>
      </c>
      <c r="Z37" s="247">
        <f t="shared" si="10"/>
        <v>2552.309179889913</v>
      </c>
      <c r="AA37" s="247">
        <f t="shared" si="10"/>
        <v>2761.314117810253</v>
      </c>
      <c r="AB37" s="247">
        <f t="shared" si="10"/>
        <v>2989.592144978119</v>
      </c>
      <c r="AC37" s="247">
        <f t="shared" si="10"/>
        <v>3238.8173768010965</v>
      </c>
      <c r="AD37" s="247">
        <f t="shared" si="10"/>
        <v>3510.803867154722</v>
      </c>
      <c r="AE37" s="247">
        <f t="shared" si="10"/>
        <v>3807.516996630804</v>
      </c>
      <c r="AF37" s="247">
        <f t="shared" si="10"/>
        <v>4131.085769443801</v>
      </c>
    </row>
    <row r="38" spans="1:32" s="273" customFormat="1" ht="30">
      <c r="A38" s="280" t="s">
        <v>19</v>
      </c>
      <c r="B38" s="271"/>
      <c r="C38" s="272">
        <f>'конкурсная документация'!C35*C12</f>
        <v>88</v>
      </c>
      <c r="D38" s="272">
        <f>'конкурсная документация'!D35*D12</f>
        <v>96.80000000000001</v>
      </c>
      <c r="E38" s="272">
        <f>'конкурсная документация'!E35*E12</f>
        <v>102.60800000000002</v>
      </c>
      <c r="F38" s="272">
        <f>'конкурсная документация'!F35*F12</f>
        <v>109.79056000000001</v>
      </c>
      <c r="G38" s="272">
        <f>'конкурсная документация'!G35*G12</f>
        <v>117.47589920000003</v>
      </c>
      <c r="H38" s="272">
        <f>'конкурсная документация'!H35*H12</f>
        <v>125.69921214400004</v>
      </c>
      <c r="I38" s="272">
        <f>'конкурсная документация'!I35*I12</f>
        <v>134.49815699408006</v>
      </c>
      <c r="J38" s="272">
        <f>'конкурсная документация'!J35*J12</f>
        <v>143.91302798366567</v>
      </c>
      <c r="K38" s="272">
        <f>'конкурсная документация'!K35*K12</f>
        <v>153.98693994252227</v>
      </c>
      <c r="L38" s="272">
        <f>'конкурсная документация'!L35*L12</f>
        <v>164.76602573849885</v>
      </c>
      <c r="M38" s="272">
        <f>'конкурсная документация'!M35*M12</f>
        <v>176.29964754019375</v>
      </c>
      <c r="N38" s="272">
        <f>'конкурсная документация'!N35*N12</f>
        <v>188.64062286800734</v>
      </c>
      <c r="O38" s="272">
        <f>'конкурсная документация'!O35*O12</f>
        <v>201.84546646876785</v>
      </c>
      <c r="P38" s="272">
        <f>'конкурсная документация'!P35*P12</f>
        <v>215.97464912158162</v>
      </c>
      <c r="Q38" s="272">
        <f>'конкурсная документация'!Q35*Q12</f>
        <v>231.09287456009235</v>
      </c>
      <c r="R38" s="272">
        <f>'конкурсная документация'!R35*R12</f>
        <v>247.2693757792988</v>
      </c>
      <c r="S38" s="272">
        <f>'конкурсная документация'!S35*S12</f>
        <v>264.57823208384974</v>
      </c>
      <c r="T38" s="272">
        <f>'конкурсная документация'!T35*T12</f>
        <v>283.0987083297192</v>
      </c>
      <c r="U38" s="272">
        <f>'конкурсная документация'!U35*U12</f>
        <v>302.9156179127996</v>
      </c>
      <c r="V38" s="272">
        <f>'конкурсная документация'!V35*V12</f>
        <v>324.11971116669554</v>
      </c>
      <c r="W38" s="272">
        <f>'конкурсная документация'!W35*W12</f>
        <v>346.8080909483643</v>
      </c>
      <c r="X38" s="272">
        <f>'конкурсная документация'!X35*X12</f>
        <v>371.0846573147498</v>
      </c>
      <c r="Y38" s="272">
        <f>'конкурсная документация'!Y35*Y12</f>
        <v>397.0605833267823</v>
      </c>
      <c r="Z38" s="272">
        <f>'конкурсная документация'!Z35*Z12</f>
        <v>424.85482415965714</v>
      </c>
      <c r="AA38" s="272">
        <f>'конкурсная документация'!AA35*AA12</f>
        <v>454.5946618508332</v>
      </c>
      <c r="AB38" s="272">
        <f>'конкурсная документация'!AB35*AB12</f>
        <v>486.4162881803915</v>
      </c>
      <c r="AC38" s="272">
        <f>'конкурсная документация'!AC35*AC12</f>
        <v>520.465428353019</v>
      </c>
      <c r="AD38" s="272">
        <f>'конкурсная документация'!AD35*AD12</f>
        <v>556.8980083377303</v>
      </c>
      <c r="AE38" s="272">
        <f>'конкурсная документация'!AE35*AE12</f>
        <v>595.8808689213714</v>
      </c>
      <c r="AF38" s="272">
        <f>'конкурсная документация'!AF35*AF12</f>
        <v>637.5925297458674</v>
      </c>
    </row>
    <row r="39" spans="1:32" s="106" customFormat="1" ht="15">
      <c r="A39" s="252" t="s">
        <v>9</v>
      </c>
      <c r="B39" s="227"/>
      <c r="C39" s="227">
        <f>C14*'конкурсная документация'!$B$10/(1-'конкурсная документация'!$B$10)</f>
        <v>21.49176162790698</v>
      </c>
      <c r="D39" s="227">
        <f>D14*'конкурсная документация'!$B$10/(1-'конкурсная документация'!$B$10)</f>
        <v>22.937158745739776</v>
      </c>
      <c r="E39" s="227">
        <f>E14*'конкурсная документация'!$B$10/(1-'конкурсная документация'!$B$10)</f>
        <v>24.168436438512682</v>
      </c>
      <c r="F39" s="227">
        <f>F14*'конкурсная документация'!$B$10/(1-'конкурсная документация'!$B$10)</f>
        <v>25.464493147087452</v>
      </c>
      <c r="G39" s="227">
        <f>G14*'конкурсная документация'!$B$10/(1-'конкурсная документация'!$B$10)</f>
        <v>26.89789609250733</v>
      </c>
      <c r="H39" s="227">
        <f>H14*'конкурсная документация'!$B$10/(1-'конкурсная документация'!$B$10)</f>
        <v>28.41877160450828</v>
      </c>
      <c r="I39" s="227">
        <f>I14*'конкурсная документация'!$B$10/(1-'конкурсная документация'!$B$10)</f>
        <v>30.033208669042413</v>
      </c>
      <c r="J39" s="227">
        <f>J14*'конкурсная документация'!$B$10/(1-'конкурсная документация'!$B$10)</f>
        <v>31.747720384508753</v>
      </c>
      <c r="K39" s="227">
        <f>K14*'конкурсная документация'!$B$10/(1-'конкурсная документация'!$B$10)</f>
        <v>33.59285755622549</v>
      </c>
      <c r="L39" s="227">
        <f>L14*'конкурсная документация'!$B$10/(1-'конкурсная документация'!$B$10)</f>
        <v>35.530302693809155</v>
      </c>
      <c r="M39" s="227">
        <f>M14*'конкурсная документация'!$B$10/(1-'конкурсная документация'!$B$10)</f>
        <v>37.65087241103996</v>
      </c>
      <c r="N39" s="227">
        <f>N14*'конкурсная документация'!$B$10/(1-'конкурсная документация'!$B$10)</f>
        <v>40.032848317080834</v>
      </c>
      <c r="O39" s="227">
        <f>O14*'конкурсная документация'!$B$10/(1-'конкурсная документация'!$B$10)</f>
        <v>43.26355814281143</v>
      </c>
      <c r="P39" s="227">
        <f>P14*'конкурсная документация'!$B$10/(1-'конкурсная документация'!$B$10)</f>
        <v>47.5069780903033</v>
      </c>
      <c r="Q39" s="227">
        <f>Q14*'конкурсная документация'!$B$10/(1-'конкурсная документация'!$B$10)</f>
        <v>52.79491553289483</v>
      </c>
      <c r="R39" s="227">
        <f>R14*'конкурсная документация'!$B$10/(1-'конкурсная документация'!$B$10)</f>
        <v>59.27645350409905</v>
      </c>
      <c r="S39" s="227">
        <f>S14*'конкурсная документация'!$B$10/(1-'конкурсная документация'!$B$10)</f>
        <v>67.08067822159451</v>
      </c>
      <c r="T39" s="227">
        <f>T14*'конкурсная документация'!$B$10/(1-'конкурсная документация'!$B$10)</f>
        <v>76.34889984571008</v>
      </c>
      <c r="U39" s="227">
        <f>U14*'конкурсная документация'!$B$10/(1-'конкурсная документация'!$B$10)</f>
        <v>86.33551340726834</v>
      </c>
      <c r="V39" s="227">
        <f>V14*'конкурсная документация'!$B$10/(1-'конкурсная документация'!$B$10)</f>
        <v>98.9566576226714</v>
      </c>
      <c r="W39" s="227">
        <f>W14*'конкурсная документация'!$B$10/(1-'конкурсная документация'!$B$10)</f>
        <v>113.54715908344292</v>
      </c>
      <c r="X39" s="227">
        <f>X14*'конкурсная документация'!$B$10/(1-'конкурсная документация'!$B$10)</f>
        <v>129.7641315844058</v>
      </c>
      <c r="Y39" s="227">
        <f>Y14*'конкурсная документация'!$B$10/(1-'конкурсная документация'!$B$10)</f>
        <v>147.76379318077338</v>
      </c>
      <c r="Z39" s="227">
        <f>Z14*'конкурсная документация'!$B$10/(1-'конкурсная документация'!$B$10)</f>
        <v>167.71626309824862</v>
      </c>
      <c r="AA39" s="227">
        <f>AA14*'конкурсная документация'!$B$10/(1-'конкурсная документация'!$B$10)</f>
        <v>189.8067424505691</v>
      </c>
      <c r="AB39" s="227">
        <f>AB14*'конкурсная документация'!$B$10/(1-'конкурсная документация'!$B$10)</f>
        <v>214.23679214317232</v>
      </c>
      <c r="AC39" s="227">
        <f>AC14*'конкурсная документация'!$B$10/(1-'конкурсная документация'!$B$10)</f>
        <v>241.2257157836121</v>
      </c>
      <c r="AD39" s="227">
        <f>AD14*'конкурсная документация'!$B$10/(1-'конкурсная документация'!$B$10)</f>
        <v>271.0120560380364</v>
      </c>
      <c r="AE39" s="227">
        <f>AE14*'конкурсная документация'!$B$10/(1-'конкурсная документация'!$B$10)</f>
        <v>303.8552135400149</v>
      </c>
      <c r="AF39" s="227">
        <f>AF14*'конкурсная документация'!$B$10/(1-'конкурсная документация'!$B$10)</f>
        <v>340.03719817700517</v>
      </c>
    </row>
    <row r="40" spans="1:32" s="273" customFormat="1" ht="15">
      <c r="A40" s="280" t="s">
        <v>165</v>
      </c>
      <c r="B40" s="271"/>
      <c r="C40" s="272">
        <f>'конкурсная документация'!C37+'конкурсная документация'!$B$9*(C45+D45)/2</f>
        <v>502.42</v>
      </c>
      <c r="D40" s="272">
        <f>'конкурсная документация'!D37+'конкурсная документация'!$B$9*(D45+E45)/2</f>
        <v>507.2842</v>
      </c>
      <c r="E40" s="272">
        <f>'конкурсная документация'!E37+'конкурсная документация'!$B$9*(E45+F45)/2</f>
        <v>512.03829</v>
      </c>
      <c r="F40" s="272">
        <f>'конкурсная документация'!F37+'конкурсная документация'!$B$9*(F45+G45)/2</f>
        <v>516.5734547</v>
      </c>
      <c r="G40" s="272">
        <f>'конкурсная документация'!G37+'конкурсная документация'!$B$9*(G45+H45)/2</f>
        <v>520.933465729</v>
      </c>
      <c r="H40" s="272">
        <f>'конкурсная документация'!H37+'конкурсная документация'!$B$9*(H45+I45)/2</f>
        <v>525.10606233003</v>
      </c>
      <c r="I40" s="272">
        <f>'конкурсная документация'!I37+'конкурсная документация'!$B$9*(I45+J45)/2</f>
        <v>529.0781254931321</v>
      </c>
      <c r="J40" s="272">
        <f>'конкурсная документация'!J37+'конкурсная документация'!$B$9*(J45+K45)/2</f>
        <v>532.8356178776513</v>
      </c>
      <c r="K40" s="272">
        <f>'конкурсная документация'!K37+'конкурсная документация'!$B$9*(K45+L45)/2</f>
        <v>536.363519529087</v>
      </c>
      <c r="L40" s="272">
        <f>'конкурсная документация'!L37+'конкурсная документация'!$B$9*(L45+M45)/2</f>
        <v>539.645759096123</v>
      </c>
      <c r="M40" s="272">
        <f>'конкурсная документация'!M37+'конкурсная документация'!$B$9*(M45+N45)/2</f>
        <v>545.0882208838906</v>
      </c>
      <c r="N40" s="272">
        <f>'конкурсная документация'!N37+'конкурсная документация'!$B$9*(N45+O45)/2</f>
        <v>555.4345086793484</v>
      </c>
      <c r="O40" s="272">
        <f>'конкурсная документация'!O37+'конкурсная документация'!$B$9*(O45+P45)/2</f>
        <v>571.1290969946052</v>
      </c>
      <c r="P40" s="272">
        <f>'конкурсная документация'!P37+'конкурсная документация'!$B$9*(P45+Q45)/2</f>
        <v>592.3896680260275</v>
      </c>
      <c r="Q40" s="272">
        <f>'конкурсная документация'!Q37+'конкурсная документация'!$B$9*(Q45+R45)/2</f>
        <v>619.4281912729259</v>
      </c>
      <c r="R40" s="272">
        <f>'конкурсная документация'!R37+'конкурсная документация'!$B$9*(R45+S45)/2</f>
        <v>652.4647871172053</v>
      </c>
      <c r="S40" s="272">
        <f>'конкурсная документация'!S37+'конкурсная документация'!$B$9*(S45+T45)/2</f>
        <v>691.7220808283815</v>
      </c>
      <c r="T40" s="272">
        <f>'конкурсная документация'!T37+'конкурсная документация'!$B$9*(T45+U45)/2</f>
        <v>737.4244746579752</v>
      </c>
      <c r="U40" s="272">
        <f>'конкурсная документация'!U37+'конкурсная документация'!$B$9*(U45+V45)/2</f>
        <v>789.7973057531725</v>
      </c>
      <c r="V40" s="272">
        <f>'конкурсная документация'!V37+'конкурсная документация'!$B$9*(V45+W45)/2</f>
        <v>849.0658774711849</v>
      </c>
      <c r="W40" s="272">
        <f>'конкурсная документация'!W37+'конкурсная документация'!$B$9*(W45+X45)/2</f>
        <v>915.4543504966325</v>
      </c>
      <c r="X40" s="272">
        <f>'конкурсная документация'!X37+'конкурсная документация'!$B$9*(X45+Y45)/2</f>
        <v>989.4267869460339</v>
      </c>
      <c r="Y40" s="272">
        <f>'конкурсная документация'!Y37+'конкурсная документация'!$B$9*(Y45+Z45)/2</f>
        <v>1071.719638180918</v>
      </c>
      <c r="Z40" s="272">
        <f>'конкурсная документация'!Z37+'конкурсная документация'!$B$9*(Z45+AA45)/2</f>
        <v>1163.1352973326502</v>
      </c>
      <c r="AA40" s="272">
        <f>'конкурсная документация'!AA37+'конкурсная документация'!$B$9*(AA45+AB45)/2</f>
        <v>1264.5477225385384</v>
      </c>
      <c r="AB40" s="272">
        <f>'конкурсная документация'!AB37+'конкурсная документация'!$B$9*(AB45+AC45)/2</f>
        <v>1376.908524316321</v>
      </c>
      <c r="AC40" s="272">
        <f>'конкурсная документация'!AC37+'конкурсная документация'!$B$9*(AC45+AD45)/2</f>
        <v>1501.2535545025548</v>
      </c>
      <c r="AD40" s="272">
        <f>'конкурсная документация'!AD37+'конкурсная документация'!$B$9*(AD45+AE45)/2</f>
        <v>1638.7100371457109</v>
      </c>
      <c r="AE40" s="272">
        <f>'конкурсная документация'!AE37+'конкурсная документация'!$B$9*(AE45+AF45)/2</f>
        <v>1790.5042849418462</v>
      </c>
      <c r="AF40" s="272">
        <f>'конкурсная документация'!AF37+'конкурсная документация'!$B$9*(AF45+AG45)/2</f>
        <v>1957.9700482474266</v>
      </c>
    </row>
    <row r="41" spans="1:32" s="273" customFormat="1" ht="15">
      <c r="A41" s="280" t="s">
        <v>17</v>
      </c>
      <c r="B41" s="283"/>
      <c r="C41" s="272">
        <f>'конкурсная документация'!C38*C12</f>
        <v>165</v>
      </c>
      <c r="D41" s="272">
        <f>'конкурсная документация'!D38*D12</f>
        <v>181.50000000000003</v>
      </c>
      <c r="E41" s="272">
        <f>'конкурсная документация'!E38*E12</f>
        <v>192.39000000000001</v>
      </c>
      <c r="F41" s="272">
        <f>'конкурсная документация'!F38*F12</f>
        <v>205.85730000000004</v>
      </c>
      <c r="G41" s="272">
        <f>'конкурсная документация'!G38*G12</f>
        <v>220.26731100000006</v>
      </c>
      <c r="H41" s="272">
        <f>'конкурсная документация'!H38*H12</f>
        <v>235.68602277000008</v>
      </c>
      <c r="I41" s="272">
        <f>'конкурсная документация'!I38*I12</f>
        <v>252.1840443639001</v>
      </c>
      <c r="J41" s="272">
        <f>'конкурсная документация'!J38*J12</f>
        <v>269.8369274693731</v>
      </c>
      <c r="K41" s="272">
        <f>'конкурсная документация'!K38*K12</f>
        <v>288.72551239222923</v>
      </c>
      <c r="L41" s="272">
        <f>'конкурсная документация'!L38*L12</f>
        <v>308.9362982596853</v>
      </c>
      <c r="M41" s="272">
        <f>'конкурсная документация'!M38*M12</f>
        <v>330.5618391378633</v>
      </c>
      <c r="N41" s="272">
        <f>'конкурсная документация'!N38*N12</f>
        <v>353.7011678775138</v>
      </c>
      <c r="O41" s="272">
        <f>'конкурсная документация'!O38*O12</f>
        <v>378.4602496289397</v>
      </c>
      <c r="P41" s="272">
        <f>'конкурсная документация'!P38*P12</f>
        <v>404.95246710296556</v>
      </c>
      <c r="Q41" s="272">
        <f>'конкурсная документация'!Q38*Q12</f>
        <v>433.2991398001731</v>
      </c>
      <c r="R41" s="272">
        <f>'конкурсная документация'!R38*R12</f>
        <v>463.6300795861853</v>
      </c>
      <c r="S41" s="272">
        <f>'конкурсная документация'!S38*S12</f>
        <v>496.08418515721826</v>
      </c>
      <c r="T41" s="272">
        <f>'конкурсная документация'!T38*T12</f>
        <v>530.8100781182235</v>
      </c>
      <c r="U41" s="272">
        <f>'конкурсная документация'!U38*U12</f>
        <v>567.9667835864992</v>
      </c>
      <c r="V41" s="272">
        <f>'конкурсная документация'!V38*V12</f>
        <v>607.7244584375542</v>
      </c>
      <c r="W41" s="272">
        <f>'конкурсная документация'!W38*W12</f>
        <v>650.265170528183</v>
      </c>
      <c r="X41" s="272">
        <f>'конкурсная документация'!X38*X12</f>
        <v>695.7837324651558</v>
      </c>
      <c r="Y41" s="272">
        <f>'конкурсная документация'!Y38*Y12</f>
        <v>744.4885937377169</v>
      </c>
      <c r="Z41" s="272">
        <f>'конкурсная документация'!Z38*Z12</f>
        <v>796.6027952993571</v>
      </c>
      <c r="AA41" s="272">
        <f>'конкурсная документация'!AA38*AA12</f>
        <v>852.3649909703122</v>
      </c>
      <c r="AB41" s="272">
        <f>'конкурсная документация'!AB38*AB12</f>
        <v>912.0305403382341</v>
      </c>
      <c r="AC41" s="272">
        <f>'конкурсная документация'!AC38*AC12</f>
        <v>975.8726781619105</v>
      </c>
      <c r="AD41" s="272">
        <f>'конкурсная документация'!AD38*AD12</f>
        <v>1044.1837656332443</v>
      </c>
      <c r="AE41" s="272">
        <f>'конкурсная документация'!AE38*AE12</f>
        <v>1117.2766292275714</v>
      </c>
      <c r="AF41" s="272">
        <f>'конкурсная документация'!AF38*AF12</f>
        <v>1195.4859932735014</v>
      </c>
    </row>
    <row r="42" spans="1:32" s="106" customFormat="1" ht="45">
      <c r="A42" s="168" t="s">
        <v>109</v>
      </c>
      <c r="B42" s="230"/>
      <c r="C42" s="246">
        <f>'конкурсная документация'!C41</f>
        <v>60</v>
      </c>
      <c r="D42" s="246">
        <f>'конкурсная документация'!D41</f>
        <v>60</v>
      </c>
      <c r="E42" s="246">
        <f>'конкурсная документация'!E41</f>
        <v>60</v>
      </c>
      <c r="F42" s="246">
        <f>'конкурсная документация'!F41</f>
        <v>60</v>
      </c>
      <c r="G42" s="246">
        <f>'конкурсная документация'!G41</f>
        <v>60</v>
      </c>
      <c r="H42" s="246">
        <f>'конкурсная документация'!H41</f>
        <v>60</v>
      </c>
      <c r="I42" s="246">
        <f>'конкурсная документация'!I41</f>
        <v>60</v>
      </c>
      <c r="J42" s="246">
        <f>'конкурсная документация'!J41</f>
        <v>60</v>
      </c>
      <c r="K42" s="246">
        <f>'конкурсная документация'!K41</f>
        <v>60</v>
      </c>
      <c r="L42" s="246">
        <f>'конкурсная документация'!L41</f>
        <v>60</v>
      </c>
      <c r="M42" s="246">
        <f>'конкурсная документация'!M41</f>
        <v>60</v>
      </c>
      <c r="N42" s="246">
        <f>'конкурсная документация'!N41</f>
        <v>60</v>
      </c>
      <c r="O42" s="246">
        <f>'конкурсная документация'!O41</f>
        <v>60</v>
      </c>
      <c r="P42" s="246">
        <f>'конкурсная документация'!P41</f>
        <v>60</v>
      </c>
      <c r="Q42" s="246">
        <f>'конкурсная документация'!Q41</f>
        <v>60</v>
      </c>
      <c r="R42" s="246">
        <f>'конкурсная документация'!R41</f>
        <v>60</v>
      </c>
      <c r="S42" s="246">
        <f>'конкурсная документация'!S41</f>
        <v>60</v>
      </c>
      <c r="T42" s="246">
        <f>'конкурсная документация'!T41</f>
        <v>60</v>
      </c>
      <c r="U42" s="246">
        <f>'конкурсная документация'!U41</f>
        <v>60</v>
      </c>
      <c r="V42" s="246">
        <f>'конкурсная документация'!V41</f>
        <v>60</v>
      </c>
      <c r="W42" s="246">
        <f>'конкурсная документация'!W41</f>
        <v>60</v>
      </c>
      <c r="X42" s="246">
        <f>'конкурсная документация'!X41</f>
        <v>60</v>
      </c>
      <c r="Y42" s="246">
        <f>'конкурсная документация'!Y41</f>
        <v>60</v>
      </c>
      <c r="Z42" s="246">
        <f>'конкурсная документация'!Z41</f>
        <v>60</v>
      </c>
      <c r="AA42" s="246">
        <f>'конкурсная документация'!AA41</f>
        <v>60</v>
      </c>
      <c r="AB42" s="246">
        <f>'конкурсная документация'!AB41</f>
        <v>60</v>
      </c>
      <c r="AC42" s="246">
        <f>'конкурсная документация'!AC41</f>
        <v>60</v>
      </c>
      <c r="AD42" s="246">
        <f>'конкурсная документация'!AD41</f>
        <v>60</v>
      </c>
      <c r="AE42" s="246">
        <f>'конкурсная документация'!AE41</f>
        <v>60</v>
      </c>
      <c r="AF42" s="246">
        <f>'конкурсная документация'!AF41</f>
        <v>60</v>
      </c>
    </row>
    <row r="43" spans="1:32" s="106" customFormat="1" ht="46.5" customHeight="1">
      <c r="A43" s="168" t="s">
        <v>122</v>
      </c>
      <c r="B43" s="230"/>
      <c r="C43" s="227">
        <f>'конкурсная документация'!$B$42</f>
        <v>10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2"/>
      <c r="Y43" s="232"/>
      <c r="Z43" s="232"/>
      <c r="AA43" s="232"/>
      <c r="AB43" s="232"/>
      <c r="AC43" s="232"/>
      <c r="AD43" s="232"/>
      <c r="AE43" s="232"/>
      <c r="AF43" s="232"/>
    </row>
    <row r="44" spans="1:32" s="273" customFormat="1" ht="17.25" customHeight="1">
      <c r="A44" s="159" t="s">
        <v>110</v>
      </c>
      <c r="B44" s="271"/>
      <c r="C44" s="271">
        <f>'конкурсные предложения'!B15*C8</f>
        <v>220.00000000000003</v>
      </c>
      <c r="D44" s="271">
        <f>'конкурсные предложения'!C15*D8</f>
        <v>244.20000000000007</v>
      </c>
      <c r="E44" s="271">
        <f>'конкурсные предложения'!D15*E8</f>
        <v>256.4100000000001</v>
      </c>
      <c r="F44" s="271">
        <f>'конкурсные предложения'!E15*F8</f>
        <v>274.3587000000001</v>
      </c>
      <c r="G44" s="271">
        <f>'конкурсные предложения'!F15*G8</f>
        <v>293.5638090000001</v>
      </c>
      <c r="H44" s="271">
        <f>'конкурсные предложения'!G15*H8</f>
        <v>314.11327563000015</v>
      </c>
      <c r="I44" s="271">
        <f>'конкурсные предложения'!H15*I8</f>
        <v>336.1012049241002</v>
      </c>
      <c r="J44" s="271">
        <f>'конкурсные предложения'!I15*J8</f>
        <v>359.6282892687872</v>
      </c>
      <c r="K44" s="271">
        <f>'конкурсные предложения'!J15*K8</f>
        <v>384.8022695176024</v>
      </c>
      <c r="L44" s="271">
        <f>'конкурсные предложения'!K15*L8</f>
        <v>411.7384283838345</v>
      </c>
      <c r="M44" s="271">
        <f>'конкурсные предложения'!L15*M8</f>
        <v>660.8401775560545</v>
      </c>
      <c r="N44" s="271">
        <f>'конкурсные предложения'!M15*N8</f>
        <v>942.7986533133044</v>
      </c>
      <c r="O44" s="271">
        <f>'конкурсные предложения'!N15*O8</f>
        <v>1260.9931988065448</v>
      </c>
      <c r="P44" s="271">
        <f>'конкурсные предложения'!O15*P8</f>
        <v>1619.1152672676035</v>
      </c>
      <c r="Q44" s="271">
        <f>'конкурсные предложения'!P15*Q8</f>
        <v>2021.1955586390586</v>
      </c>
      <c r="R44" s="271">
        <f>'конкурсные предложения'!Q15*R8</f>
        <v>2471.6334259929063</v>
      </c>
      <c r="S44" s="271">
        <f>'конкурсные предложения'!R15*S8</f>
        <v>2975.228736538961</v>
      </c>
      <c r="T44" s="271">
        <f>'конкурсные предложения'!S15*T8</f>
        <v>3537.2163867740983</v>
      </c>
      <c r="U44" s="271">
        <f>'конкурсные предложения'!T15*U8</f>
        <v>4163.303687233114</v>
      </c>
      <c r="V44" s="271">
        <f>'конкурсные предложения'!U15*V8</f>
        <v>4859.710849461198</v>
      </c>
      <c r="W44" s="271">
        <f>'конкурсные предложения'!V15*W8</f>
        <v>5633.214826333773</v>
      </c>
      <c r="X44" s="271">
        <f>'конкурсные предложения'!W15*X8</f>
        <v>6491.196776806148</v>
      </c>
      <c r="Y44" s="271">
        <f>'конкурсные предложения'!X15*Y8</f>
        <v>7441.6934476956185</v>
      </c>
      <c r="Z44" s="271">
        <f>'конкурсные предложения'!Y15*Z8</f>
        <v>8493.452788303268</v>
      </c>
      <c r="AA44" s="271">
        <f>'конкурсные предложения'!Z15*AA8</f>
        <v>9655.994138702277</v>
      </c>
      <c r="AB44" s="271">
        <f>'конкурсные предложения'!AA15*AB8</f>
        <v>10939.673359494464</v>
      </c>
      <c r="AC44" s="271">
        <f>'конкурсные предложения'!AB15*AC8</f>
        <v>12355.753299917915</v>
      </c>
      <c r="AD44" s="271">
        <f>'конкурсные предложения'!AC15*AD8</f>
        <v>13916.480032539124</v>
      </c>
      <c r="AE44" s="271">
        <f>'конкурсные предложения'!AD15*AE8</f>
        <v>15635.165316557708</v>
      </c>
      <c r="AF44" s="271">
        <f>'конкурсные предложения'!AE15*AF8</f>
        <v>17526.275788179453</v>
      </c>
    </row>
    <row r="45" spans="1:33" s="238" customFormat="1" ht="63.75" customHeight="1">
      <c r="A45" s="159" t="s">
        <v>166</v>
      </c>
      <c r="B45" s="276"/>
      <c r="C45" s="277"/>
      <c r="D45" s="278">
        <f aca="true" t="shared" si="11" ref="D45:AG45">C45+C44-C75</f>
        <v>220.00000000000003</v>
      </c>
      <c r="E45" s="278">
        <f t="shared" si="11"/>
        <v>442.2000000000001</v>
      </c>
      <c r="F45" s="278">
        <f t="shared" si="11"/>
        <v>652.19</v>
      </c>
      <c r="G45" s="278">
        <f t="shared" si="11"/>
        <v>854.4877000000001</v>
      </c>
      <c r="H45" s="278">
        <f t="shared" si="11"/>
        <v>1048.5546390000004</v>
      </c>
      <c r="I45" s="278">
        <f t="shared" si="11"/>
        <v>1233.8146637300006</v>
      </c>
      <c r="J45" s="278">
        <f t="shared" si="11"/>
        <v>1409.6512901911008</v>
      </c>
      <c r="K45" s="278">
        <f t="shared" si="11"/>
        <v>1575.4048805044781</v>
      </c>
      <c r="L45" s="278">
        <f t="shared" si="11"/>
        <v>1730.3696221397918</v>
      </c>
      <c r="M45" s="278">
        <f t="shared" si="11"/>
        <v>1873.7902956895773</v>
      </c>
      <c r="N45" s="278">
        <f t="shared" si="11"/>
        <v>2225.1388755731996</v>
      </c>
      <c r="O45" s="278">
        <f t="shared" si="11"/>
        <v>2814.361913458466</v>
      </c>
      <c r="P45" s="278">
        <f t="shared" si="11"/>
        <v>3651.919631505642</v>
      </c>
      <c r="Q45" s="278">
        <f t="shared" si="11"/>
        <v>4747.141098133222</v>
      </c>
      <c r="R45" s="278">
        <f t="shared" si="11"/>
        <v>6109.967199405497</v>
      </c>
      <c r="S45" s="278">
        <f t="shared" si="11"/>
        <v>7750.467993067714</v>
      </c>
      <c r="T45" s="278">
        <f t="shared" si="11"/>
        <v>9678.812082239696</v>
      </c>
      <c r="U45" s="278">
        <f t="shared" si="11"/>
        <v>11905.23106848533</v>
      </c>
      <c r="V45" s="278">
        <f t="shared" si="11"/>
        <v>14439.978545439446</v>
      </c>
      <c r="W45" s="278">
        <f t="shared" si="11"/>
        <v>17293.283042850097</v>
      </c>
      <c r="X45" s="278">
        <f t="shared" si="11"/>
        <v>20475.294275025586</v>
      </c>
      <c r="Y45" s="278">
        <f t="shared" si="11"/>
        <v>24018.049992795677</v>
      </c>
      <c r="Z45" s="278">
        <f t="shared" si="11"/>
        <v>27956.462569105955</v>
      </c>
      <c r="AA45" s="278">
        <f t="shared" si="11"/>
        <v>32328.56446113497</v>
      </c>
      <c r="AB45" s="278">
        <f t="shared" si="11"/>
        <v>37175.773951459436</v>
      </c>
      <c r="AC45" s="278">
        <f t="shared" si="11"/>
        <v>42543.18280456976</v>
      </c>
      <c r="AD45" s="278">
        <f t="shared" si="11"/>
        <v>48479.86760475339</v>
      </c>
      <c r="AE45" s="278">
        <f t="shared" si="11"/>
        <v>55039.22668122033</v>
      </c>
      <c r="AF45" s="278">
        <f t="shared" si="11"/>
        <v>62279.34467712934</v>
      </c>
      <c r="AG45" s="278">
        <f t="shared" si="11"/>
        <v>70263.38698172764</v>
      </c>
    </row>
    <row r="46" spans="1:32" s="106" customFormat="1" ht="15">
      <c r="A46" s="279" t="s">
        <v>111</v>
      </c>
      <c r="B46" s="230"/>
      <c r="C46" s="230"/>
      <c r="D46" s="230">
        <f aca="true" t="shared" si="12" ref="D46:AF46">IF($C$44/$C$43*(D$5-$C$5)&gt;$C$44,0,$C$44/$C$43)</f>
        <v>22.000000000000004</v>
      </c>
      <c r="E46" s="230">
        <f t="shared" si="12"/>
        <v>22.000000000000004</v>
      </c>
      <c r="F46" s="230">
        <f t="shared" si="12"/>
        <v>22.000000000000004</v>
      </c>
      <c r="G46" s="230">
        <f t="shared" si="12"/>
        <v>22.000000000000004</v>
      </c>
      <c r="H46" s="230">
        <f t="shared" si="12"/>
        <v>22.000000000000004</v>
      </c>
      <c r="I46" s="230">
        <f t="shared" si="12"/>
        <v>22.000000000000004</v>
      </c>
      <c r="J46" s="230">
        <f t="shared" si="12"/>
        <v>22.000000000000004</v>
      </c>
      <c r="K46" s="230">
        <f t="shared" si="12"/>
        <v>22.000000000000004</v>
      </c>
      <c r="L46" s="230">
        <f t="shared" si="12"/>
        <v>22.000000000000004</v>
      </c>
      <c r="M46" s="230">
        <f t="shared" si="12"/>
        <v>22.000000000000004</v>
      </c>
      <c r="N46" s="230">
        <f t="shared" si="12"/>
        <v>0</v>
      </c>
      <c r="O46" s="230">
        <f t="shared" si="12"/>
        <v>0</v>
      </c>
      <c r="P46" s="230">
        <f t="shared" si="12"/>
        <v>0</v>
      </c>
      <c r="Q46" s="230">
        <f t="shared" si="12"/>
        <v>0</v>
      </c>
      <c r="R46" s="230">
        <f t="shared" si="12"/>
        <v>0</v>
      </c>
      <c r="S46" s="230">
        <f t="shared" si="12"/>
        <v>0</v>
      </c>
      <c r="T46" s="230">
        <f t="shared" si="12"/>
        <v>0</v>
      </c>
      <c r="U46" s="230">
        <f t="shared" si="12"/>
        <v>0</v>
      </c>
      <c r="V46" s="230">
        <f t="shared" si="12"/>
        <v>0</v>
      </c>
      <c r="W46" s="230">
        <f t="shared" si="12"/>
        <v>0</v>
      </c>
      <c r="X46" s="230">
        <f t="shared" si="12"/>
        <v>0</v>
      </c>
      <c r="Y46" s="230">
        <f t="shared" si="12"/>
        <v>0</v>
      </c>
      <c r="Z46" s="230">
        <f t="shared" si="12"/>
        <v>0</v>
      </c>
      <c r="AA46" s="230">
        <f t="shared" si="12"/>
        <v>0</v>
      </c>
      <c r="AB46" s="230">
        <f t="shared" si="12"/>
        <v>0</v>
      </c>
      <c r="AC46" s="230">
        <f t="shared" si="12"/>
        <v>0</v>
      </c>
      <c r="AD46" s="230">
        <f t="shared" si="12"/>
        <v>0</v>
      </c>
      <c r="AE46" s="230">
        <f t="shared" si="12"/>
        <v>0</v>
      </c>
      <c r="AF46" s="230">
        <f t="shared" si="12"/>
        <v>0</v>
      </c>
    </row>
    <row r="47" spans="1:32" s="106" customFormat="1" ht="15">
      <c r="A47" s="279" t="s">
        <v>112</v>
      </c>
      <c r="B47" s="230"/>
      <c r="C47" s="230"/>
      <c r="D47" s="232"/>
      <c r="E47" s="230">
        <f aca="true" t="shared" si="13" ref="E47:AF47">IF($D$44/$C$43*(E$5-$D$5)&gt;$D$44,0,$D$44/$C$43)</f>
        <v>24.42000000000001</v>
      </c>
      <c r="F47" s="230">
        <f t="shared" si="13"/>
        <v>24.42000000000001</v>
      </c>
      <c r="G47" s="230">
        <f t="shared" si="13"/>
        <v>24.42000000000001</v>
      </c>
      <c r="H47" s="230">
        <f t="shared" si="13"/>
        <v>24.42000000000001</v>
      </c>
      <c r="I47" s="230">
        <f t="shared" si="13"/>
        <v>24.42000000000001</v>
      </c>
      <c r="J47" s="230">
        <f t="shared" si="13"/>
        <v>24.42000000000001</v>
      </c>
      <c r="K47" s="230">
        <f t="shared" si="13"/>
        <v>24.42000000000001</v>
      </c>
      <c r="L47" s="230">
        <f t="shared" si="13"/>
        <v>24.42000000000001</v>
      </c>
      <c r="M47" s="230">
        <f t="shared" si="13"/>
        <v>24.42000000000001</v>
      </c>
      <c r="N47" s="230">
        <f t="shared" si="13"/>
        <v>24.42000000000001</v>
      </c>
      <c r="O47" s="230">
        <f t="shared" si="13"/>
        <v>0</v>
      </c>
      <c r="P47" s="230">
        <f t="shared" si="13"/>
        <v>0</v>
      </c>
      <c r="Q47" s="230">
        <f t="shared" si="13"/>
        <v>0</v>
      </c>
      <c r="R47" s="230">
        <f t="shared" si="13"/>
        <v>0</v>
      </c>
      <c r="S47" s="230">
        <f t="shared" si="13"/>
        <v>0</v>
      </c>
      <c r="T47" s="230">
        <f t="shared" si="13"/>
        <v>0</v>
      </c>
      <c r="U47" s="230">
        <f t="shared" si="13"/>
        <v>0</v>
      </c>
      <c r="V47" s="230">
        <f t="shared" si="13"/>
        <v>0</v>
      </c>
      <c r="W47" s="230">
        <f t="shared" si="13"/>
        <v>0</v>
      </c>
      <c r="X47" s="230">
        <f t="shared" si="13"/>
        <v>0</v>
      </c>
      <c r="Y47" s="230">
        <f t="shared" si="13"/>
        <v>0</v>
      </c>
      <c r="Z47" s="230">
        <f t="shared" si="13"/>
        <v>0</v>
      </c>
      <c r="AA47" s="230">
        <f t="shared" si="13"/>
        <v>0</v>
      </c>
      <c r="AB47" s="230">
        <f t="shared" si="13"/>
        <v>0</v>
      </c>
      <c r="AC47" s="230">
        <f t="shared" si="13"/>
        <v>0</v>
      </c>
      <c r="AD47" s="230">
        <f t="shared" si="13"/>
        <v>0</v>
      </c>
      <c r="AE47" s="230">
        <f t="shared" si="13"/>
        <v>0</v>
      </c>
      <c r="AF47" s="230">
        <f t="shared" si="13"/>
        <v>0</v>
      </c>
    </row>
    <row r="48" spans="1:32" s="106" customFormat="1" ht="15">
      <c r="A48" s="279" t="s">
        <v>113</v>
      </c>
      <c r="B48" s="230"/>
      <c r="C48" s="230"/>
      <c r="D48" s="230"/>
      <c r="E48" s="230"/>
      <c r="F48" s="230">
        <f aca="true" t="shared" si="14" ref="F48:AF48">IF($E$44/$C$43*(F$5-$E$5)&gt;$E$44,0,$E$44/$C$43)</f>
        <v>25.64100000000001</v>
      </c>
      <c r="G48" s="230">
        <f t="shared" si="14"/>
        <v>25.64100000000001</v>
      </c>
      <c r="H48" s="230">
        <f t="shared" si="14"/>
        <v>25.64100000000001</v>
      </c>
      <c r="I48" s="230">
        <f t="shared" si="14"/>
        <v>25.64100000000001</v>
      </c>
      <c r="J48" s="230">
        <f t="shared" si="14"/>
        <v>25.64100000000001</v>
      </c>
      <c r="K48" s="230">
        <f t="shared" si="14"/>
        <v>25.64100000000001</v>
      </c>
      <c r="L48" s="230">
        <f t="shared" si="14"/>
        <v>25.64100000000001</v>
      </c>
      <c r="M48" s="230">
        <f t="shared" si="14"/>
        <v>25.64100000000001</v>
      </c>
      <c r="N48" s="230">
        <f t="shared" si="14"/>
        <v>25.64100000000001</v>
      </c>
      <c r="O48" s="230">
        <f t="shared" si="14"/>
        <v>25.64100000000001</v>
      </c>
      <c r="P48" s="230">
        <f t="shared" si="14"/>
        <v>0</v>
      </c>
      <c r="Q48" s="230">
        <f t="shared" si="14"/>
        <v>0</v>
      </c>
      <c r="R48" s="230">
        <f t="shared" si="14"/>
        <v>0</v>
      </c>
      <c r="S48" s="230">
        <f t="shared" si="14"/>
        <v>0</v>
      </c>
      <c r="T48" s="230">
        <f t="shared" si="14"/>
        <v>0</v>
      </c>
      <c r="U48" s="230">
        <f t="shared" si="14"/>
        <v>0</v>
      </c>
      <c r="V48" s="230">
        <f t="shared" si="14"/>
        <v>0</v>
      </c>
      <c r="W48" s="230">
        <f t="shared" si="14"/>
        <v>0</v>
      </c>
      <c r="X48" s="230">
        <f t="shared" si="14"/>
        <v>0</v>
      </c>
      <c r="Y48" s="230">
        <f t="shared" si="14"/>
        <v>0</v>
      </c>
      <c r="Z48" s="230">
        <f t="shared" si="14"/>
        <v>0</v>
      </c>
      <c r="AA48" s="230">
        <f t="shared" si="14"/>
        <v>0</v>
      </c>
      <c r="AB48" s="230">
        <f t="shared" si="14"/>
        <v>0</v>
      </c>
      <c r="AC48" s="230">
        <f t="shared" si="14"/>
        <v>0</v>
      </c>
      <c r="AD48" s="230">
        <f t="shared" si="14"/>
        <v>0</v>
      </c>
      <c r="AE48" s="230">
        <f t="shared" si="14"/>
        <v>0</v>
      </c>
      <c r="AF48" s="230">
        <f t="shared" si="14"/>
        <v>0</v>
      </c>
    </row>
    <row r="49" spans="1:32" s="106" customFormat="1" ht="15">
      <c r="A49" s="279" t="s">
        <v>114</v>
      </c>
      <c r="B49" s="230"/>
      <c r="C49" s="230"/>
      <c r="D49" s="230"/>
      <c r="E49" s="230"/>
      <c r="F49" s="230"/>
      <c r="G49" s="230">
        <f aca="true" t="shared" si="15" ref="G49:AF49">IF($F$44/$C$43*(G$5-$F$5)&gt;$F$44,0,$F$44/$C$43)</f>
        <v>27.435870000000012</v>
      </c>
      <c r="H49" s="230">
        <f t="shared" si="15"/>
        <v>27.435870000000012</v>
      </c>
      <c r="I49" s="230">
        <f t="shared" si="15"/>
        <v>27.435870000000012</v>
      </c>
      <c r="J49" s="230">
        <f t="shared" si="15"/>
        <v>27.435870000000012</v>
      </c>
      <c r="K49" s="230">
        <f t="shared" si="15"/>
        <v>27.435870000000012</v>
      </c>
      <c r="L49" s="230">
        <f t="shared" si="15"/>
        <v>27.435870000000012</v>
      </c>
      <c r="M49" s="230">
        <f t="shared" si="15"/>
        <v>27.435870000000012</v>
      </c>
      <c r="N49" s="230">
        <f t="shared" si="15"/>
        <v>27.435870000000012</v>
      </c>
      <c r="O49" s="230">
        <f t="shared" si="15"/>
        <v>27.435870000000012</v>
      </c>
      <c r="P49" s="230">
        <f t="shared" si="15"/>
        <v>27.435870000000012</v>
      </c>
      <c r="Q49" s="230">
        <f t="shared" si="15"/>
        <v>0</v>
      </c>
      <c r="R49" s="230">
        <f t="shared" si="15"/>
        <v>0</v>
      </c>
      <c r="S49" s="230">
        <f t="shared" si="15"/>
        <v>0</v>
      </c>
      <c r="T49" s="230">
        <f t="shared" si="15"/>
        <v>0</v>
      </c>
      <c r="U49" s="230">
        <f t="shared" si="15"/>
        <v>0</v>
      </c>
      <c r="V49" s="230">
        <f t="shared" si="15"/>
        <v>0</v>
      </c>
      <c r="W49" s="230">
        <f t="shared" si="15"/>
        <v>0</v>
      </c>
      <c r="X49" s="230">
        <f t="shared" si="15"/>
        <v>0</v>
      </c>
      <c r="Y49" s="230">
        <f t="shared" si="15"/>
        <v>0</v>
      </c>
      <c r="Z49" s="230">
        <f t="shared" si="15"/>
        <v>0</v>
      </c>
      <c r="AA49" s="230">
        <f t="shared" si="15"/>
        <v>0</v>
      </c>
      <c r="AB49" s="230">
        <f t="shared" si="15"/>
        <v>0</v>
      </c>
      <c r="AC49" s="230">
        <f t="shared" si="15"/>
        <v>0</v>
      </c>
      <c r="AD49" s="230">
        <f t="shared" si="15"/>
        <v>0</v>
      </c>
      <c r="AE49" s="230">
        <f t="shared" si="15"/>
        <v>0</v>
      </c>
      <c r="AF49" s="230">
        <f t="shared" si="15"/>
        <v>0</v>
      </c>
    </row>
    <row r="50" spans="1:32" s="106" customFormat="1" ht="15">
      <c r="A50" s="279" t="s">
        <v>115</v>
      </c>
      <c r="B50" s="230"/>
      <c r="C50" s="230"/>
      <c r="D50" s="230"/>
      <c r="E50" s="230"/>
      <c r="F50" s="230"/>
      <c r="G50" s="230"/>
      <c r="H50" s="230">
        <f aca="true" t="shared" si="16" ref="H50:AF50">IF($G$44/$C$43*(H$5-$G$5)&gt;$G$44,0,$G$44/$C$43)</f>
        <v>29.356380900000012</v>
      </c>
      <c r="I50" s="230">
        <f t="shared" si="16"/>
        <v>29.356380900000012</v>
      </c>
      <c r="J50" s="230">
        <f t="shared" si="16"/>
        <v>29.356380900000012</v>
      </c>
      <c r="K50" s="230">
        <f t="shared" si="16"/>
        <v>29.356380900000012</v>
      </c>
      <c r="L50" s="230">
        <f t="shared" si="16"/>
        <v>29.356380900000012</v>
      </c>
      <c r="M50" s="230">
        <f t="shared" si="16"/>
        <v>29.356380900000012</v>
      </c>
      <c r="N50" s="230">
        <f t="shared" si="16"/>
        <v>29.356380900000012</v>
      </c>
      <c r="O50" s="230">
        <f t="shared" si="16"/>
        <v>29.356380900000012</v>
      </c>
      <c r="P50" s="230">
        <f t="shared" si="16"/>
        <v>29.356380900000012</v>
      </c>
      <c r="Q50" s="230">
        <f t="shared" si="16"/>
        <v>29.356380900000012</v>
      </c>
      <c r="R50" s="230">
        <f t="shared" si="16"/>
        <v>0</v>
      </c>
      <c r="S50" s="230">
        <f t="shared" si="16"/>
        <v>0</v>
      </c>
      <c r="T50" s="230">
        <f t="shared" si="16"/>
        <v>0</v>
      </c>
      <c r="U50" s="230">
        <f t="shared" si="16"/>
        <v>0</v>
      </c>
      <c r="V50" s="230">
        <f t="shared" si="16"/>
        <v>0</v>
      </c>
      <c r="W50" s="230">
        <f t="shared" si="16"/>
        <v>0</v>
      </c>
      <c r="X50" s="230">
        <f t="shared" si="16"/>
        <v>0</v>
      </c>
      <c r="Y50" s="230">
        <f t="shared" si="16"/>
        <v>0</v>
      </c>
      <c r="Z50" s="230">
        <f t="shared" si="16"/>
        <v>0</v>
      </c>
      <c r="AA50" s="230">
        <f t="shared" si="16"/>
        <v>0</v>
      </c>
      <c r="AB50" s="230">
        <f t="shared" si="16"/>
        <v>0</v>
      </c>
      <c r="AC50" s="230">
        <f t="shared" si="16"/>
        <v>0</v>
      </c>
      <c r="AD50" s="230">
        <f t="shared" si="16"/>
        <v>0</v>
      </c>
      <c r="AE50" s="230">
        <f t="shared" si="16"/>
        <v>0</v>
      </c>
      <c r="AF50" s="230">
        <f t="shared" si="16"/>
        <v>0</v>
      </c>
    </row>
    <row r="51" spans="1:32" s="106" customFormat="1" ht="15">
      <c r="A51" s="279" t="s">
        <v>116</v>
      </c>
      <c r="B51" s="230"/>
      <c r="C51" s="230"/>
      <c r="D51" s="230"/>
      <c r="E51" s="230"/>
      <c r="F51" s="230"/>
      <c r="G51" s="230"/>
      <c r="H51" s="230"/>
      <c r="I51" s="230">
        <f aca="true" t="shared" si="17" ref="I51:AF51">IF($H$44/$C$43*(I$5-$H$5)&gt;$H$44,0,$H$44/$C$43)</f>
        <v>31.411327563000015</v>
      </c>
      <c r="J51" s="230">
        <f t="shared" si="17"/>
        <v>31.411327563000015</v>
      </c>
      <c r="K51" s="230">
        <f t="shared" si="17"/>
        <v>31.411327563000015</v>
      </c>
      <c r="L51" s="230">
        <f t="shared" si="17"/>
        <v>31.411327563000015</v>
      </c>
      <c r="M51" s="230">
        <f t="shared" si="17"/>
        <v>31.411327563000015</v>
      </c>
      <c r="N51" s="230">
        <f t="shared" si="17"/>
        <v>31.411327563000015</v>
      </c>
      <c r="O51" s="230">
        <f t="shared" si="17"/>
        <v>31.411327563000015</v>
      </c>
      <c r="P51" s="230">
        <f t="shared" si="17"/>
        <v>31.411327563000015</v>
      </c>
      <c r="Q51" s="230">
        <f t="shared" si="17"/>
        <v>31.411327563000015</v>
      </c>
      <c r="R51" s="230">
        <f t="shared" si="17"/>
        <v>31.411327563000015</v>
      </c>
      <c r="S51" s="230">
        <f t="shared" si="17"/>
        <v>0</v>
      </c>
      <c r="T51" s="230">
        <f t="shared" si="17"/>
        <v>0</v>
      </c>
      <c r="U51" s="230">
        <f t="shared" si="17"/>
        <v>0</v>
      </c>
      <c r="V51" s="230">
        <f t="shared" si="17"/>
        <v>0</v>
      </c>
      <c r="W51" s="230">
        <f t="shared" si="17"/>
        <v>0</v>
      </c>
      <c r="X51" s="230">
        <f t="shared" si="17"/>
        <v>0</v>
      </c>
      <c r="Y51" s="230">
        <f t="shared" si="17"/>
        <v>0</v>
      </c>
      <c r="Z51" s="230">
        <f t="shared" si="17"/>
        <v>0</v>
      </c>
      <c r="AA51" s="230">
        <f t="shared" si="17"/>
        <v>0</v>
      </c>
      <c r="AB51" s="230">
        <f t="shared" si="17"/>
        <v>0</v>
      </c>
      <c r="AC51" s="230">
        <f t="shared" si="17"/>
        <v>0</v>
      </c>
      <c r="AD51" s="230">
        <f t="shared" si="17"/>
        <v>0</v>
      </c>
      <c r="AE51" s="230">
        <f t="shared" si="17"/>
        <v>0</v>
      </c>
      <c r="AF51" s="230">
        <f t="shared" si="17"/>
        <v>0</v>
      </c>
    </row>
    <row r="52" spans="1:32" s="106" customFormat="1" ht="15">
      <c r="A52" s="279" t="s">
        <v>117</v>
      </c>
      <c r="B52" s="230"/>
      <c r="C52" s="230"/>
      <c r="D52" s="230"/>
      <c r="E52" s="230"/>
      <c r="F52" s="230"/>
      <c r="G52" s="230"/>
      <c r="H52" s="230"/>
      <c r="I52" s="230"/>
      <c r="J52" s="230">
        <f aca="true" t="shared" si="18" ref="J52:AF52">IF($I$44/$C$43*(J$5-$I$5)&gt;$I$44,0,$I$44/$C$43)</f>
        <v>33.61012049241002</v>
      </c>
      <c r="K52" s="230">
        <f t="shared" si="18"/>
        <v>33.61012049241002</v>
      </c>
      <c r="L52" s="230">
        <f t="shared" si="18"/>
        <v>33.61012049241002</v>
      </c>
      <c r="M52" s="230">
        <f t="shared" si="18"/>
        <v>33.61012049241002</v>
      </c>
      <c r="N52" s="230">
        <f t="shared" si="18"/>
        <v>33.61012049241002</v>
      </c>
      <c r="O52" s="230">
        <f t="shared" si="18"/>
        <v>33.61012049241002</v>
      </c>
      <c r="P52" s="230">
        <f t="shared" si="18"/>
        <v>33.61012049241002</v>
      </c>
      <c r="Q52" s="230">
        <f t="shared" si="18"/>
        <v>33.61012049241002</v>
      </c>
      <c r="R52" s="230">
        <f t="shared" si="18"/>
        <v>33.61012049241002</v>
      </c>
      <c r="S52" s="230">
        <f t="shared" si="18"/>
        <v>33.61012049241002</v>
      </c>
      <c r="T52" s="230">
        <f t="shared" si="18"/>
        <v>0</v>
      </c>
      <c r="U52" s="230">
        <f t="shared" si="18"/>
        <v>0</v>
      </c>
      <c r="V52" s="230">
        <f t="shared" si="18"/>
        <v>0</v>
      </c>
      <c r="W52" s="230">
        <f t="shared" si="18"/>
        <v>0</v>
      </c>
      <c r="X52" s="230">
        <f t="shared" si="18"/>
        <v>0</v>
      </c>
      <c r="Y52" s="230">
        <f t="shared" si="18"/>
        <v>0</v>
      </c>
      <c r="Z52" s="230">
        <f t="shared" si="18"/>
        <v>0</v>
      </c>
      <c r="AA52" s="230">
        <f t="shared" si="18"/>
        <v>0</v>
      </c>
      <c r="AB52" s="230">
        <f t="shared" si="18"/>
        <v>0</v>
      </c>
      <c r="AC52" s="230">
        <f t="shared" si="18"/>
        <v>0</v>
      </c>
      <c r="AD52" s="230">
        <f t="shared" si="18"/>
        <v>0</v>
      </c>
      <c r="AE52" s="230">
        <f t="shared" si="18"/>
        <v>0</v>
      </c>
      <c r="AF52" s="230">
        <f t="shared" si="18"/>
        <v>0</v>
      </c>
    </row>
    <row r="53" spans="1:32" s="106" customFormat="1" ht="15">
      <c r="A53" s="279" t="s">
        <v>118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>
        <f aca="true" t="shared" si="19" ref="K53:AF53">IF($J$44/$C$43*(K$5-$J$5)&gt;$J$44,0,$J$44/$C$43)</f>
        <v>35.96282892687872</v>
      </c>
      <c r="L53" s="230">
        <f t="shared" si="19"/>
        <v>35.96282892687872</v>
      </c>
      <c r="M53" s="230">
        <f t="shared" si="19"/>
        <v>35.96282892687872</v>
      </c>
      <c r="N53" s="230">
        <f t="shared" si="19"/>
        <v>35.96282892687872</v>
      </c>
      <c r="O53" s="230">
        <f t="shared" si="19"/>
        <v>35.96282892687872</v>
      </c>
      <c r="P53" s="230">
        <f t="shared" si="19"/>
        <v>35.96282892687872</v>
      </c>
      <c r="Q53" s="230">
        <f t="shared" si="19"/>
        <v>35.96282892687872</v>
      </c>
      <c r="R53" s="230">
        <f t="shared" si="19"/>
        <v>35.96282892687872</v>
      </c>
      <c r="S53" s="230">
        <f t="shared" si="19"/>
        <v>35.96282892687872</v>
      </c>
      <c r="T53" s="230">
        <f t="shared" si="19"/>
        <v>35.96282892687872</v>
      </c>
      <c r="U53" s="230">
        <f t="shared" si="19"/>
        <v>0</v>
      </c>
      <c r="V53" s="230">
        <f t="shared" si="19"/>
        <v>0</v>
      </c>
      <c r="W53" s="230">
        <f t="shared" si="19"/>
        <v>0</v>
      </c>
      <c r="X53" s="230">
        <f t="shared" si="19"/>
        <v>0</v>
      </c>
      <c r="Y53" s="230">
        <f t="shared" si="19"/>
        <v>0</v>
      </c>
      <c r="Z53" s="230">
        <f t="shared" si="19"/>
        <v>0</v>
      </c>
      <c r="AA53" s="230">
        <f t="shared" si="19"/>
        <v>0</v>
      </c>
      <c r="AB53" s="230">
        <f t="shared" si="19"/>
        <v>0</v>
      </c>
      <c r="AC53" s="230">
        <f t="shared" si="19"/>
        <v>0</v>
      </c>
      <c r="AD53" s="230">
        <f t="shared" si="19"/>
        <v>0</v>
      </c>
      <c r="AE53" s="230">
        <f t="shared" si="19"/>
        <v>0</v>
      </c>
      <c r="AF53" s="230">
        <f t="shared" si="19"/>
        <v>0</v>
      </c>
    </row>
    <row r="54" spans="1:32" s="106" customFormat="1" ht="15">
      <c r="A54" s="279" t="s">
        <v>119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>
        <f aca="true" t="shared" si="20" ref="L54:AF54">IF($K$44/$C$43*(L$5-$K$5)&gt;$K$44,0,$K$44/$C$43)</f>
        <v>38.48022695176024</v>
      </c>
      <c r="M54" s="230">
        <f t="shared" si="20"/>
        <v>38.48022695176024</v>
      </c>
      <c r="N54" s="230">
        <f t="shared" si="20"/>
        <v>38.48022695176024</v>
      </c>
      <c r="O54" s="230">
        <f t="shared" si="20"/>
        <v>38.48022695176024</v>
      </c>
      <c r="P54" s="230">
        <f t="shared" si="20"/>
        <v>38.48022695176024</v>
      </c>
      <c r="Q54" s="230">
        <f t="shared" si="20"/>
        <v>38.48022695176024</v>
      </c>
      <c r="R54" s="230">
        <f t="shared" si="20"/>
        <v>38.48022695176024</v>
      </c>
      <c r="S54" s="230">
        <f t="shared" si="20"/>
        <v>38.48022695176024</v>
      </c>
      <c r="T54" s="230">
        <f t="shared" si="20"/>
        <v>38.48022695176024</v>
      </c>
      <c r="U54" s="230">
        <f t="shared" si="20"/>
        <v>38.48022695176024</v>
      </c>
      <c r="V54" s="230">
        <f t="shared" si="20"/>
        <v>0</v>
      </c>
      <c r="W54" s="230">
        <f t="shared" si="20"/>
        <v>0</v>
      </c>
      <c r="X54" s="230">
        <f t="shared" si="20"/>
        <v>0</v>
      </c>
      <c r="Y54" s="230">
        <f t="shared" si="20"/>
        <v>0</v>
      </c>
      <c r="Z54" s="230">
        <f t="shared" si="20"/>
        <v>0</v>
      </c>
      <c r="AA54" s="230">
        <f t="shared" si="20"/>
        <v>0</v>
      </c>
      <c r="AB54" s="230">
        <f t="shared" si="20"/>
        <v>0</v>
      </c>
      <c r="AC54" s="230">
        <f t="shared" si="20"/>
        <v>0</v>
      </c>
      <c r="AD54" s="230">
        <f t="shared" si="20"/>
        <v>0</v>
      </c>
      <c r="AE54" s="230">
        <f t="shared" si="20"/>
        <v>0</v>
      </c>
      <c r="AF54" s="230">
        <f t="shared" si="20"/>
        <v>0</v>
      </c>
    </row>
    <row r="55" spans="1:32" s="106" customFormat="1" ht="18" customHeight="1">
      <c r="A55" s="279" t="s">
        <v>120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>
        <f aca="true" t="shared" si="21" ref="M55:AF55">IF($L$44/$C$43*(M$5-$L$5)&gt;$L$44,0,$L$44/$C$43)</f>
        <v>41.17384283838345</v>
      </c>
      <c r="N55" s="230">
        <f t="shared" si="21"/>
        <v>41.17384283838345</v>
      </c>
      <c r="O55" s="230">
        <f t="shared" si="21"/>
        <v>41.17384283838345</v>
      </c>
      <c r="P55" s="230">
        <f t="shared" si="21"/>
        <v>41.17384283838345</v>
      </c>
      <c r="Q55" s="230">
        <f t="shared" si="21"/>
        <v>41.17384283838345</v>
      </c>
      <c r="R55" s="230">
        <f t="shared" si="21"/>
        <v>41.17384283838345</v>
      </c>
      <c r="S55" s="230">
        <f t="shared" si="21"/>
        <v>41.17384283838345</v>
      </c>
      <c r="T55" s="230">
        <f t="shared" si="21"/>
        <v>41.17384283838345</v>
      </c>
      <c r="U55" s="230">
        <f t="shared" si="21"/>
        <v>41.17384283838345</v>
      </c>
      <c r="V55" s="230">
        <f t="shared" si="21"/>
        <v>41.17384283838345</v>
      </c>
      <c r="W55" s="230">
        <f t="shared" si="21"/>
        <v>0</v>
      </c>
      <c r="X55" s="230">
        <f t="shared" si="21"/>
        <v>0</v>
      </c>
      <c r="Y55" s="230">
        <f t="shared" si="21"/>
        <v>0</v>
      </c>
      <c r="Z55" s="230">
        <f t="shared" si="21"/>
        <v>0</v>
      </c>
      <c r="AA55" s="230">
        <f t="shared" si="21"/>
        <v>0</v>
      </c>
      <c r="AB55" s="230">
        <f t="shared" si="21"/>
        <v>0</v>
      </c>
      <c r="AC55" s="230">
        <f t="shared" si="21"/>
        <v>0</v>
      </c>
      <c r="AD55" s="230">
        <f t="shared" si="21"/>
        <v>0</v>
      </c>
      <c r="AE55" s="230">
        <f t="shared" si="21"/>
        <v>0</v>
      </c>
      <c r="AF55" s="230">
        <f t="shared" si="21"/>
        <v>0</v>
      </c>
    </row>
    <row r="56" spans="1:32" s="238" customFormat="1" ht="15" customHeight="1">
      <c r="A56" s="281" t="s">
        <v>167</v>
      </c>
      <c r="B56" s="282"/>
      <c r="C56" s="282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>
        <f>IF($M$44/$C$43*(N$5-$M$5)&gt;$M$44,0,$M$44/$C$43)</f>
        <v>66.08401775560546</v>
      </c>
      <c r="O56" s="283">
        <f>IF($M$44/$C$43*(O$5-$M$5)&gt;$M$44,0,$M$44/$C$43)</f>
        <v>66.08401775560546</v>
      </c>
      <c r="P56" s="283">
        <f aca="true" t="shared" si="22" ref="P56:AF56">IF($M$44/$C$43*(P$5-$M$5)&gt;$M$44,0,$M$44/$C$43)</f>
        <v>66.08401775560546</v>
      </c>
      <c r="Q56" s="283">
        <f t="shared" si="22"/>
        <v>66.08401775560546</v>
      </c>
      <c r="R56" s="283">
        <f t="shared" si="22"/>
        <v>66.08401775560546</v>
      </c>
      <c r="S56" s="283">
        <f t="shared" si="22"/>
        <v>66.08401775560546</v>
      </c>
      <c r="T56" s="283">
        <f t="shared" si="22"/>
        <v>66.08401775560546</v>
      </c>
      <c r="U56" s="283">
        <f t="shared" si="22"/>
        <v>66.08401775560546</v>
      </c>
      <c r="V56" s="283">
        <f t="shared" si="22"/>
        <v>66.08401775560546</v>
      </c>
      <c r="W56" s="283">
        <f t="shared" si="22"/>
        <v>66.08401775560546</v>
      </c>
      <c r="X56" s="283">
        <f t="shared" si="22"/>
        <v>0</v>
      </c>
      <c r="Y56" s="283">
        <f t="shared" si="22"/>
        <v>0</v>
      </c>
      <c r="Z56" s="283">
        <f t="shared" si="22"/>
        <v>0</v>
      </c>
      <c r="AA56" s="283">
        <f t="shared" si="22"/>
        <v>0</v>
      </c>
      <c r="AB56" s="283">
        <f t="shared" si="22"/>
        <v>0</v>
      </c>
      <c r="AC56" s="283">
        <f t="shared" si="22"/>
        <v>0</v>
      </c>
      <c r="AD56" s="283">
        <f t="shared" si="22"/>
        <v>0</v>
      </c>
      <c r="AE56" s="283">
        <f t="shared" si="22"/>
        <v>0</v>
      </c>
      <c r="AF56" s="283">
        <f t="shared" si="22"/>
        <v>0</v>
      </c>
    </row>
    <row r="57" spans="1:32" s="238" customFormat="1" ht="15" customHeight="1">
      <c r="A57" s="281" t="s">
        <v>168</v>
      </c>
      <c r="B57" s="282"/>
      <c r="C57" s="282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>
        <f aca="true" t="shared" si="23" ref="O57:AF57">IF($N$44/$C$43*(O$5-$N$5)&gt;$N$44,0,$N$44/$C$43)</f>
        <v>94.27986533133044</v>
      </c>
      <c r="P57" s="283">
        <f t="shared" si="23"/>
        <v>94.27986533133044</v>
      </c>
      <c r="Q57" s="283">
        <f t="shared" si="23"/>
        <v>94.27986533133044</v>
      </c>
      <c r="R57" s="283">
        <f t="shared" si="23"/>
        <v>94.27986533133044</v>
      </c>
      <c r="S57" s="283">
        <f t="shared" si="23"/>
        <v>94.27986533133044</v>
      </c>
      <c r="T57" s="283">
        <f t="shared" si="23"/>
        <v>94.27986533133044</v>
      </c>
      <c r="U57" s="283">
        <f t="shared" si="23"/>
        <v>94.27986533133044</v>
      </c>
      <c r="V57" s="283">
        <f t="shared" si="23"/>
        <v>94.27986533133044</v>
      </c>
      <c r="W57" s="283">
        <f t="shared" si="23"/>
        <v>94.27986533133044</v>
      </c>
      <c r="X57" s="283">
        <f t="shared" si="23"/>
        <v>94.27986533133044</v>
      </c>
      <c r="Y57" s="283">
        <f t="shared" si="23"/>
        <v>0</v>
      </c>
      <c r="Z57" s="283">
        <f t="shared" si="23"/>
        <v>0</v>
      </c>
      <c r="AA57" s="283">
        <f t="shared" si="23"/>
        <v>0</v>
      </c>
      <c r="AB57" s="283">
        <f t="shared" si="23"/>
        <v>0</v>
      </c>
      <c r="AC57" s="283">
        <f t="shared" si="23"/>
        <v>0</v>
      </c>
      <c r="AD57" s="283">
        <f t="shared" si="23"/>
        <v>0</v>
      </c>
      <c r="AE57" s="283">
        <f t="shared" si="23"/>
        <v>0</v>
      </c>
      <c r="AF57" s="283">
        <f t="shared" si="23"/>
        <v>0</v>
      </c>
    </row>
    <row r="58" spans="1:32" s="238" customFormat="1" ht="15" customHeight="1">
      <c r="A58" s="281" t="s">
        <v>169</v>
      </c>
      <c r="B58" s="282"/>
      <c r="C58" s="282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>
        <f aca="true" t="shared" si="24" ref="P58:AF58">IF($O$44/$C$43*(P$5-$O$5)&gt;$O$44,0,$O$44/$C$43)</f>
        <v>126.09931988065448</v>
      </c>
      <c r="Q58" s="283">
        <f t="shared" si="24"/>
        <v>126.09931988065448</v>
      </c>
      <c r="R58" s="283">
        <f t="shared" si="24"/>
        <v>126.09931988065448</v>
      </c>
      <c r="S58" s="283">
        <f t="shared" si="24"/>
        <v>126.09931988065448</v>
      </c>
      <c r="T58" s="283">
        <f t="shared" si="24"/>
        <v>126.09931988065448</v>
      </c>
      <c r="U58" s="283">
        <f t="shared" si="24"/>
        <v>126.09931988065448</v>
      </c>
      <c r="V58" s="283">
        <f t="shared" si="24"/>
        <v>126.09931988065448</v>
      </c>
      <c r="W58" s="283">
        <f t="shared" si="24"/>
        <v>126.09931988065448</v>
      </c>
      <c r="X58" s="283">
        <f t="shared" si="24"/>
        <v>126.09931988065448</v>
      </c>
      <c r="Y58" s="283">
        <f t="shared" si="24"/>
        <v>126.09931988065448</v>
      </c>
      <c r="Z58" s="283">
        <f t="shared" si="24"/>
        <v>0</v>
      </c>
      <c r="AA58" s="283">
        <f t="shared" si="24"/>
        <v>0</v>
      </c>
      <c r="AB58" s="283">
        <f t="shared" si="24"/>
        <v>0</v>
      </c>
      <c r="AC58" s="283">
        <f t="shared" si="24"/>
        <v>0</v>
      </c>
      <c r="AD58" s="283">
        <f t="shared" si="24"/>
        <v>0</v>
      </c>
      <c r="AE58" s="283">
        <f t="shared" si="24"/>
        <v>0</v>
      </c>
      <c r="AF58" s="283">
        <f t="shared" si="24"/>
        <v>0</v>
      </c>
    </row>
    <row r="59" spans="1:32" s="238" customFormat="1" ht="15" customHeight="1">
      <c r="A59" s="281" t="s">
        <v>170</v>
      </c>
      <c r="B59" s="282"/>
      <c r="C59" s="282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>
        <f aca="true" t="shared" si="25" ref="Q59:AF59">IF($P$44/$C$43*(Q$5-$P$5)&gt;$P$44,0,$P$44/$C$43)</f>
        <v>161.91152672676034</v>
      </c>
      <c r="R59" s="283">
        <f t="shared" si="25"/>
        <v>161.91152672676034</v>
      </c>
      <c r="S59" s="283">
        <f t="shared" si="25"/>
        <v>161.91152672676034</v>
      </c>
      <c r="T59" s="283">
        <f t="shared" si="25"/>
        <v>161.91152672676034</v>
      </c>
      <c r="U59" s="283">
        <f t="shared" si="25"/>
        <v>161.91152672676034</v>
      </c>
      <c r="V59" s="283">
        <f t="shared" si="25"/>
        <v>161.91152672676034</v>
      </c>
      <c r="W59" s="283">
        <f t="shared" si="25"/>
        <v>161.91152672676034</v>
      </c>
      <c r="X59" s="283">
        <f t="shared" si="25"/>
        <v>161.91152672676034</v>
      </c>
      <c r="Y59" s="283">
        <f t="shared" si="25"/>
        <v>161.91152672676034</v>
      </c>
      <c r="Z59" s="283">
        <f t="shared" si="25"/>
        <v>161.91152672676034</v>
      </c>
      <c r="AA59" s="283">
        <f t="shared" si="25"/>
        <v>0</v>
      </c>
      <c r="AB59" s="283">
        <f t="shared" si="25"/>
        <v>0</v>
      </c>
      <c r="AC59" s="283">
        <f t="shared" si="25"/>
        <v>0</v>
      </c>
      <c r="AD59" s="283">
        <f t="shared" si="25"/>
        <v>0</v>
      </c>
      <c r="AE59" s="283">
        <f t="shared" si="25"/>
        <v>0</v>
      </c>
      <c r="AF59" s="283">
        <f t="shared" si="25"/>
        <v>0</v>
      </c>
    </row>
    <row r="60" spans="1:32" s="238" customFormat="1" ht="15" customHeight="1">
      <c r="A60" s="281" t="s">
        <v>171</v>
      </c>
      <c r="B60" s="282"/>
      <c r="C60" s="282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>
        <f aca="true" t="shared" si="26" ref="R60:AF60">IF($Q$44/$C$43*(R$5-$Q$5)&gt;$Q$44,0,$Q$44/$C$43)</f>
        <v>202.11955586390587</v>
      </c>
      <c r="S60" s="283">
        <f t="shared" si="26"/>
        <v>202.11955586390587</v>
      </c>
      <c r="T60" s="283">
        <f t="shared" si="26"/>
        <v>202.11955586390587</v>
      </c>
      <c r="U60" s="283">
        <f t="shared" si="26"/>
        <v>202.11955586390587</v>
      </c>
      <c r="V60" s="283">
        <f t="shared" si="26"/>
        <v>202.11955586390587</v>
      </c>
      <c r="W60" s="283">
        <f t="shared" si="26"/>
        <v>202.11955586390587</v>
      </c>
      <c r="X60" s="283">
        <f t="shared" si="26"/>
        <v>202.11955586390587</v>
      </c>
      <c r="Y60" s="283">
        <f t="shared" si="26"/>
        <v>202.11955586390587</v>
      </c>
      <c r="Z60" s="283">
        <f t="shared" si="26"/>
        <v>202.11955586390587</v>
      </c>
      <c r="AA60" s="283">
        <f t="shared" si="26"/>
        <v>202.11955586390587</v>
      </c>
      <c r="AB60" s="283">
        <f t="shared" si="26"/>
        <v>0</v>
      </c>
      <c r="AC60" s="283">
        <f t="shared" si="26"/>
        <v>0</v>
      </c>
      <c r="AD60" s="283">
        <f t="shared" si="26"/>
        <v>0</v>
      </c>
      <c r="AE60" s="283">
        <f t="shared" si="26"/>
        <v>0</v>
      </c>
      <c r="AF60" s="283">
        <f t="shared" si="26"/>
        <v>0</v>
      </c>
    </row>
    <row r="61" spans="1:32" s="238" customFormat="1" ht="15" customHeight="1">
      <c r="A61" s="281" t="s">
        <v>172</v>
      </c>
      <c r="B61" s="282"/>
      <c r="C61" s="282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>
        <f aca="true" t="shared" si="27" ref="S61:AF61">IF($R$44/$C$43*(S$5-$R$5)&gt;$R$44,0,$R$44/$C$43)</f>
        <v>247.16334259929062</v>
      </c>
      <c r="T61" s="283">
        <f t="shared" si="27"/>
        <v>247.16334259929062</v>
      </c>
      <c r="U61" s="283">
        <f t="shared" si="27"/>
        <v>247.16334259929062</v>
      </c>
      <c r="V61" s="283">
        <f t="shared" si="27"/>
        <v>247.16334259929062</v>
      </c>
      <c r="W61" s="283">
        <f t="shared" si="27"/>
        <v>247.16334259929062</v>
      </c>
      <c r="X61" s="283">
        <f t="shared" si="27"/>
        <v>247.16334259929062</v>
      </c>
      <c r="Y61" s="283">
        <f t="shared" si="27"/>
        <v>247.16334259929062</v>
      </c>
      <c r="Z61" s="283">
        <f t="shared" si="27"/>
        <v>247.16334259929062</v>
      </c>
      <c r="AA61" s="283">
        <f t="shared" si="27"/>
        <v>247.16334259929062</v>
      </c>
      <c r="AB61" s="283">
        <f t="shared" si="27"/>
        <v>247.16334259929062</v>
      </c>
      <c r="AC61" s="283">
        <f t="shared" si="27"/>
        <v>0</v>
      </c>
      <c r="AD61" s="283">
        <f t="shared" si="27"/>
        <v>0</v>
      </c>
      <c r="AE61" s="283">
        <f t="shared" si="27"/>
        <v>0</v>
      </c>
      <c r="AF61" s="283">
        <f t="shared" si="27"/>
        <v>0</v>
      </c>
    </row>
    <row r="62" spans="1:32" s="238" customFormat="1" ht="15" customHeight="1">
      <c r="A62" s="281" t="s">
        <v>173</v>
      </c>
      <c r="B62" s="282"/>
      <c r="C62" s="282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>
        <f aca="true" t="shared" si="28" ref="T62:AF62">IF($S$44/$C$43*(T$5-$S$5)&gt;$S$44,0,$S$44/$C$43)</f>
        <v>297.5228736538961</v>
      </c>
      <c r="U62" s="283">
        <f t="shared" si="28"/>
        <v>297.5228736538961</v>
      </c>
      <c r="V62" s="283">
        <f t="shared" si="28"/>
        <v>297.5228736538961</v>
      </c>
      <c r="W62" s="283">
        <f t="shared" si="28"/>
        <v>297.5228736538961</v>
      </c>
      <c r="X62" s="283">
        <f t="shared" si="28"/>
        <v>297.5228736538961</v>
      </c>
      <c r="Y62" s="283">
        <f t="shared" si="28"/>
        <v>297.5228736538961</v>
      </c>
      <c r="Z62" s="283">
        <f t="shared" si="28"/>
        <v>297.5228736538961</v>
      </c>
      <c r="AA62" s="283">
        <f t="shared" si="28"/>
        <v>297.5228736538961</v>
      </c>
      <c r="AB62" s="283">
        <f t="shared" si="28"/>
        <v>297.5228736538961</v>
      </c>
      <c r="AC62" s="283">
        <f t="shared" si="28"/>
        <v>297.5228736538961</v>
      </c>
      <c r="AD62" s="283">
        <f t="shared" si="28"/>
        <v>0</v>
      </c>
      <c r="AE62" s="283">
        <f t="shared" si="28"/>
        <v>0</v>
      </c>
      <c r="AF62" s="283">
        <f t="shared" si="28"/>
        <v>0</v>
      </c>
    </row>
    <row r="63" spans="1:32" s="238" customFormat="1" ht="15" customHeight="1">
      <c r="A63" s="281" t="s">
        <v>174</v>
      </c>
      <c r="B63" s="282"/>
      <c r="C63" s="282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>
        <f aca="true" t="shared" si="29" ref="U63:AF63">IF($T$44/$C$43*(U$5-$T$5)&gt;$T$44,0,$T$44/$C$43)</f>
        <v>353.7216386774098</v>
      </c>
      <c r="V63" s="283">
        <f t="shared" si="29"/>
        <v>353.7216386774098</v>
      </c>
      <c r="W63" s="283">
        <f t="shared" si="29"/>
        <v>353.7216386774098</v>
      </c>
      <c r="X63" s="283">
        <f t="shared" si="29"/>
        <v>353.7216386774098</v>
      </c>
      <c r="Y63" s="283">
        <f t="shared" si="29"/>
        <v>353.7216386774098</v>
      </c>
      <c r="Z63" s="283">
        <f t="shared" si="29"/>
        <v>353.7216386774098</v>
      </c>
      <c r="AA63" s="283">
        <f t="shared" si="29"/>
        <v>353.7216386774098</v>
      </c>
      <c r="AB63" s="283">
        <f t="shared" si="29"/>
        <v>353.7216386774098</v>
      </c>
      <c r="AC63" s="283">
        <f t="shared" si="29"/>
        <v>353.7216386774098</v>
      </c>
      <c r="AD63" s="283">
        <f t="shared" si="29"/>
        <v>353.7216386774098</v>
      </c>
      <c r="AE63" s="283">
        <f t="shared" si="29"/>
        <v>0</v>
      </c>
      <c r="AF63" s="283">
        <f t="shared" si="29"/>
        <v>0</v>
      </c>
    </row>
    <row r="64" spans="1:32" s="238" customFormat="1" ht="15" customHeight="1">
      <c r="A64" s="281" t="s">
        <v>175</v>
      </c>
      <c r="B64" s="282"/>
      <c r="C64" s="282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>
        <f aca="true" t="shared" si="30" ref="V64:AF64">IF($U$44/$C$43*(V$5-$U$5)&gt;$U$44,0,$U$44/$C$43)</f>
        <v>416.3303687233114</v>
      </c>
      <c r="W64" s="283">
        <f t="shared" si="30"/>
        <v>416.3303687233114</v>
      </c>
      <c r="X64" s="283">
        <f t="shared" si="30"/>
        <v>416.3303687233114</v>
      </c>
      <c r="Y64" s="283">
        <f t="shared" si="30"/>
        <v>416.3303687233114</v>
      </c>
      <c r="Z64" s="283">
        <f t="shared" si="30"/>
        <v>416.3303687233114</v>
      </c>
      <c r="AA64" s="283">
        <f t="shared" si="30"/>
        <v>416.3303687233114</v>
      </c>
      <c r="AB64" s="283">
        <f t="shared" si="30"/>
        <v>416.3303687233114</v>
      </c>
      <c r="AC64" s="283">
        <f t="shared" si="30"/>
        <v>416.3303687233114</v>
      </c>
      <c r="AD64" s="283">
        <f t="shared" si="30"/>
        <v>416.3303687233114</v>
      </c>
      <c r="AE64" s="283">
        <f t="shared" si="30"/>
        <v>416.3303687233114</v>
      </c>
      <c r="AF64" s="283">
        <f t="shared" si="30"/>
        <v>0</v>
      </c>
    </row>
    <row r="65" spans="1:32" s="238" customFormat="1" ht="15" customHeight="1">
      <c r="A65" s="281" t="s">
        <v>176</v>
      </c>
      <c r="B65" s="282"/>
      <c r="C65" s="282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>
        <f aca="true" t="shared" si="31" ref="W65:AF65">IF($V$44/$C$43*(W$5-$V$5)&gt;$V$44,0,$V$44/$C$43)</f>
        <v>485.97108494611984</v>
      </c>
      <c r="X65" s="283">
        <f t="shared" si="31"/>
        <v>485.97108494611984</v>
      </c>
      <c r="Y65" s="283">
        <f t="shared" si="31"/>
        <v>485.97108494611984</v>
      </c>
      <c r="Z65" s="283">
        <f t="shared" si="31"/>
        <v>485.97108494611984</v>
      </c>
      <c r="AA65" s="283">
        <f t="shared" si="31"/>
        <v>485.97108494611984</v>
      </c>
      <c r="AB65" s="283">
        <f t="shared" si="31"/>
        <v>485.97108494611984</v>
      </c>
      <c r="AC65" s="283">
        <f t="shared" si="31"/>
        <v>485.97108494611984</v>
      </c>
      <c r="AD65" s="283">
        <f t="shared" si="31"/>
        <v>485.97108494611984</v>
      </c>
      <c r="AE65" s="283">
        <f t="shared" si="31"/>
        <v>485.97108494611984</v>
      </c>
      <c r="AF65" s="283">
        <f t="shared" si="31"/>
        <v>485.97108494611984</v>
      </c>
    </row>
    <row r="66" spans="1:32" s="238" customFormat="1" ht="15" customHeight="1">
      <c r="A66" s="281" t="s">
        <v>177</v>
      </c>
      <c r="B66" s="282"/>
      <c r="C66" s="282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>
        <f aca="true" t="shared" si="32" ref="X66:AF66">IF($W$44/$C$43*(X$5-$W$5)&gt;$W$44,0,$W$44/$C$43)</f>
        <v>563.3214826333773</v>
      </c>
      <c r="Y66" s="283">
        <f t="shared" si="32"/>
        <v>563.3214826333773</v>
      </c>
      <c r="Z66" s="283">
        <f t="shared" si="32"/>
        <v>563.3214826333773</v>
      </c>
      <c r="AA66" s="283">
        <f t="shared" si="32"/>
        <v>563.3214826333773</v>
      </c>
      <c r="AB66" s="283">
        <f t="shared" si="32"/>
        <v>563.3214826333773</v>
      </c>
      <c r="AC66" s="283">
        <f t="shared" si="32"/>
        <v>563.3214826333773</v>
      </c>
      <c r="AD66" s="283">
        <f t="shared" si="32"/>
        <v>563.3214826333773</v>
      </c>
      <c r="AE66" s="283">
        <f t="shared" si="32"/>
        <v>563.3214826333773</v>
      </c>
      <c r="AF66" s="283">
        <f t="shared" si="32"/>
        <v>563.3214826333773</v>
      </c>
    </row>
    <row r="67" spans="1:32" s="238" customFormat="1" ht="15" customHeight="1">
      <c r="A67" s="281" t="s">
        <v>178</v>
      </c>
      <c r="B67" s="282"/>
      <c r="C67" s="282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>
        <f aca="true" t="shared" si="33" ref="Y67:AF67">IF($X$44/$C$43*(Y$5-$X$5)&gt;$X$44,0,$X$44/$C$43)</f>
        <v>649.1196776806148</v>
      </c>
      <c r="Z67" s="283">
        <f t="shared" si="33"/>
        <v>649.1196776806148</v>
      </c>
      <c r="AA67" s="283">
        <f t="shared" si="33"/>
        <v>649.1196776806148</v>
      </c>
      <c r="AB67" s="283">
        <f t="shared" si="33"/>
        <v>649.1196776806148</v>
      </c>
      <c r="AC67" s="283">
        <f t="shared" si="33"/>
        <v>649.1196776806148</v>
      </c>
      <c r="AD67" s="283">
        <f t="shared" si="33"/>
        <v>649.1196776806148</v>
      </c>
      <c r="AE67" s="283">
        <f t="shared" si="33"/>
        <v>649.1196776806148</v>
      </c>
      <c r="AF67" s="283">
        <f t="shared" si="33"/>
        <v>649.1196776806148</v>
      </c>
    </row>
    <row r="68" spans="1:32" s="238" customFormat="1" ht="15" customHeight="1">
      <c r="A68" s="281" t="s">
        <v>179</v>
      </c>
      <c r="B68" s="282"/>
      <c r="C68" s="282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>
        <f aca="true" t="shared" si="34" ref="Z68:AF68">IF($Y$44/$C$43*(Z$5-$Y$5)&gt;$Y$44,0,$Y$44/$C$43)</f>
        <v>744.1693447695618</v>
      </c>
      <c r="AA68" s="283">
        <f t="shared" si="34"/>
        <v>744.1693447695618</v>
      </c>
      <c r="AB68" s="283">
        <f t="shared" si="34"/>
        <v>744.1693447695618</v>
      </c>
      <c r="AC68" s="283">
        <f t="shared" si="34"/>
        <v>744.1693447695618</v>
      </c>
      <c r="AD68" s="283">
        <f t="shared" si="34"/>
        <v>744.1693447695618</v>
      </c>
      <c r="AE68" s="283">
        <f t="shared" si="34"/>
        <v>744.1693447695618</v>
      </c>
      <c r="AF68" s="283">
        <f t="shared" si="34"/>
        <v>744.1693447695618</v>
      </c>
    </row>
    <row r="69" spans="1:32" s="238" customFormat="1" ht="15" customHeight="1">
      <c r="A69" s="281" t="s">
        <v>180</v>
      </c>
      <c r="B69" s="282"/>
      <c r="C69" s="282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>
        <f aca="true" t="shared" si="35" ref="AA69:AF69">IF($Z$44/$C$43*(AA$5-$Z$5)&gt;$Z$44,0,$Z$44/$C$43)</f>
        <v>849.3452788303268</v>
      </c>
      <c r="AB69" s="283">
        <f t="shared" si="35"/>
        <v>849.3452788303268</v>
      </c>
      <c r="AC69" s="283">
        <f t="shared" si="35"/>
        <v>849.3452788303268</v>
      </c>
      <c r="AD69" s="283">
        <f t="shared" si="35"/>
        <v>849.3452788303268</v>
      </c>
      <c r="AE69" s="283">
        <f t="shared" si="35"/>
        <v>849.3452788303268</v>
      </c>
      <c r="AF69" s="283">
        <f t="shared" si="35"/>
        <v>849.3452788303268</v>
      </c>
    </row>
    <row r="70" spans="1:32" s="238" customFormat="1" ht="15" customHeight="1">
      <c r="A70" s="281" t="s">
        <v>181</v>
      </c>
      <c r="B70" s="282"/>
      <c r="C70" s="282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>
        <f>IF($AA$44/$C$43*(AB$5-$AA$5)&gt;$AA$44,0,$AA$44/$C$43)</f>
        <v>965.5994138702277</v>
      </c>
      <c r="AC70" s="283">
        <f>IF($AA$44/$C$43*(AC$5-$AA$5)&gt;$AA$44,0,$AA$44/$C$43)</f>
        <v>965.5994138702277</v>
      </c>
      <c r="AD70" s="283">
        <f>IF($AA$44/$C$43*(AD$5-$AA$5)&gt;$AA$44,0,$AA$44/$C$43)</f>
        <v>965.5994138702277</v>
      </c>
      <c r="AE70" s="283">
        <f>IF($AA$44/$C$43*(AE$5-$AA$5)&gt;$AA$44,0,$AA$44/$C$43)</f>
        <v>965.5994138702277</v>
      </c>
      <c r="AF70" s="283">
        <f>IF($AA$44/$C$43*(AF$5-$AA$5)&gt;$AA$44,0,$AA$44/$C$43)</f>
        <v>965.5994138702277</v>
      </c>
    </row>
    <row r="71" spans="1:32" s="238" customFormat="1" ht="15" customHeight="1">
      <c r="A71" s="281" t="s">
        <v>182</v>
      </c>
      <c r="B71" s="282"/>
      <c r="C71" s="282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>
        <f>IF($AB$44/$C$43*(AC$5-$AB$5)&gt;$AB$44,0,$AB$44/$C$43)</f>
        <v>1093.9673359494464</v>
      </c>
      <c r="AD71" s="283">
        <f>IF($AB$44/$C$43*(AD$5-$AB$5)&gt;$AB$44,0,$AB$44/$C$43)</f>
        <v>1093.9673359494464</v>
      </c>
      <c r="AE71" s="283">
        <f>IF($AB$44/$C$43*(AE$5-$AB$5)&gt;$AB$44,0,$AB$44/$C$43)</f>
        <v>1093.9673359494464</v>
      </c>
      <c r="AF71" s="283">
        <f>IF($AB$44/$C$43*(AF$5-$AB$5)&gt;$AB$44,0,$AB$44/$C$43)</f>
        <v>1093.9673359494464</v>
      </c>
    </row>
    <row r="72" spans="1:32" s="238" customFormat="1" ht="15" customHeight="1">
      <c r="A72" s="281" t="s">
        <v>183</v>
      </c>
      <c r="B72" s="282"/>
      <c r="C72" s="282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>
        <f>IF($AC$44/$C$43*(AD$5-$AC$5)&gt;$AC$44,0,$AC$44/$C$43)</f>
        <v>1235.5753299917915</v>
      </c>
      <c r="AE72" s="283">
        <f>IF($AC$44/$C$43*(AE$5-$AC$5)&gt;$AC$44,0,$AC$44/$C$43)</f>
        <v>1235.5753299917915</v>
      </c>
      <c r="AF72" s="283">
        <f>IF($AC$44/$C$43*(AF$5-$AC$5)&gt;$AC$44,0,$AC$44/$C$43)</f>
        <v>1235.5753299917915</v>
      </c>
    </row>
    <row r="73" spans="1:32" s="238" customFormat="1" ht="15" customHeight="1">
      <c r="A73" s="281" t="s">
        <v>184</v>
      </c>
      <c r="B73" s="282"/>
      <c r="C73" s="282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>
        <f>IF($AD$44/$C$43*(AE$5-$AD$5)&gt;$AD$44,0,$AD$44/$C$43)</f>
        <v>1391.6480032539125</v>
      </c>
      <c r="AF73" s="283">
        <f>IF($AD$44/$C$43*(AF$5-$AD$5)&gt;$AD$44,0,$AD$44/$C$43)</f>
        <v>1391.6480032539125</v>
      </c>
    </row>
    <row r="74" spans="1:32" s="238" customFormat="1" ht="15" customHeight="1">
      <c r="A74" s="281" t="s">
        <v>185</v>
      </c>
      <c r="B74" s="282"/>
      <c r="C74" s="28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>
        <f>IF($AE$44/$C$43*(AF$5-$AE$5)&gt;$AE$44,0,$AE$44/$C$43)</f>
        <v>1563.516531655771</v>
      </c>
    </row>
    <row r="75" spans="1:32" s="106" customFormat="1" ht="15">
      <c r="A75" s="254" t="s">
        <v>121</v>
      </c>
      <c r="B75" s="230"/>
      <c r="C75" s="247">
        <f>SUM(C46:C74)</f>
        <v>0</v>
      </c>
      <c r="D75" s="247">
        <f aca="true" t="shared" si="36" ref="D75:J75">SUM(D46:D74)</f>
        <v>22.000000000000004</v>
      </c>
      <c r="E75" s="247">
        <f t="shared" si="36"/>
        <v>46.420000000000016</v>
      </c>
      <c r="F75" s="247">
        <f t="shared" si="36"/>
        <v>72.06100000000002</v>
      </c>
      <c r="G75" s="247">
        <f t="shared" si="36"/>
        <v>99.49687000000003</v>
      </c>
      <c r="H75" s="247">
        <f t="shared" si="36"/>
        <v>128.85325090000003</v>
      </c>
      <c r="I75" s="247">
        <f t="shared" si="36"/>
        <v>160.26457846300005</v>
      </c>
      <c r="J75" s="247">
        <f t="shared" si="36"/>
        <v>193.87469895541005</v>
      </c>
      <c r="K75" s="247">
        <f aca="true" t="shared" si="37" ref="K75:AF75">SUM(K46:K74)</f>
        <v>229.83752788228878</v>
      </c>
      <c r="L75" s="247">
        <f t="shared" si="37"/>
        <v>268.317754834049</v>
      </c>
      <c r="M75" s="247">
        <f t="shared" si="37"/>
        <v>309.4915976724325</v>
      </c>
      <c r="N75" s="247">
        <f t="shared" si="37"/>
        <v>353.57561542803796</v>
      </c>
      <c r="O75" s="247">
        <f t="shared" si="37"/>
        <v>423.43548075936843</v>
      </c>
      <c r="P75" s="247">
        <f t="shared" si="37"/>
        <v>523.8938006400228</v>
      </c>
      <c r="Q75" s="247">
        <f t="shared" si="37"/>
        <v>658.3694573667832</v>
      </c>
      <c r="R75" s="247">
        <f t="shared" si="37"/>
        <v>831.1326323306891</v>
      </c>
      <c r="S75" s="247">
        <f t="shared" si="37"/>
        <v>1046.8846473669796</v>
      </c>
      <c r="T75" s="247">
        <f t="shared" si="37"/>
        <v>1310.7974005284657</v>
      </c>
      <c r="U75" s="247">
        <f t="shared" si="37"/>
        <v>1628.556210278997</v>
      </c>
      <c r="V75" s="247">
        <f t="shared" si="37"/>
        <v>2006.4063520505479</v>
      </c>
      <c r="W75" s="247">
        <f t="shared" si="37"/>
        <v>2451.2035941582844</v>
      </c>
      <c r="X75" s="247">
        <f t="shared" si="37"/>
        <v>2948.4410590360562</v>
      </c>
      <c r="Y75" s="247">
        <f t="shared" si="37"/>
        <v>3503.280871385341</v>
      </c>
      <c r="Z75" s="247">
        <f t="shared" si="37"/>
        <v>4121.350896274248</v>
      </c>
      <c r="AA75" s="247">
        <f t="shared" si="37"/>
        <v>4808.784648377814</v>
      </c>
      <c r="AB75" s="247">
        <f t="shared" si="37"/>
        <v>5572.264506384136</v>
      </c>
      <c r="AC75" s="247">
        <f t="shared" si="37"/>
        <v>6419.068499734292</v>
      </c>
      <c r="AD75" s="247">
        <f t="shared" si="37"/>
        <v>7357.120956072187</v>
      </c>
      <c r="AE75" s="247">
        <f t="shared" si="37"/>
        <v>8395.04732064869</v>
      </c>
      <c r="AF75" s="247">
        <f t="shared" si="37"/>
        <v>9542.233483581149</v>
      </c>
    </row>
    <row r="76" spans="1:32" s="106" customFormat="1" ht="15">
      <c r="A76" s="254" t="s">
        <v>123</v>
      </c>
      <c r="B76" s="230"/>
      <c r="C76" s="247">
        <f>C75+C42</f>
        <v>60</v>
      </c>
      <c r="D76" s="247">
        <f aca="true" t="shared" si="38" ref="D76:AF76">D75+D42</f>
        <v>82</v>
      </c>
      <c r="E76" s="247">
        <f t="shared" si="38"/>
        <v>106.42000000000002</v>
      </c>
      <c r="F76" s="247">
        <f t="shared" si="38"/>
        <v>132.06100000000004</v>
      </c>
      <c r="G76" s="247">
        <f t="shared" si="38"/>
        <v>159.49687000000003</v>
      </c>
      <c r="H76" s="247">
        <f t="shared" si="38"/>
        <v>188.85325090000003</v>
      </c>
      <c r="I76" s="247">
        <f t="shared" si="38"/>
        <v>220.26457846300005</v>
      </c>
      <c r="J76" s="247">
        <f t="shared" si="38"/>
        <v>253.87469895541005</v>
      </c>
      <c r="K76" s="247">
        <f t="shared" si="38"/>
        <v>289.8375278822888</v>
      </c>
      <c r="L76" s="247">
        <f t="shared" si="38"/>
        <v>328.317754834049</v>
      </c>
      <c r="M76" s="247">
        <f t="shared" si="38"/>
        <v>369.4915976724325</v>
      </c>
      <c r="N76" s="247">
        <f t="shared" si="38"/>
        <v>413.57561542803796</v>
      </c>
      <c r="O76" s="247">
        <f t="shared" si="38"/>
        <v>483.43548075936843</v>
      </c>
      <c r="P76" s="247">
        <f t="shared" si="38"/>
        <v>583.8938006400228</v>
      </c>
      <c r="Q76" s="247">
        <f t="shared" si="38"/>
        <v>718.3694573667832</v>
      </c>
      <c r="R76" s="247">
        <f t="shared" si="38"/>
        <v>891.1326323306891</v>
      </c>
      <c r="S76" s="247">
        <f t="shared" si="38"/>
        <v>1106.8846473669796</v>
      </c>
      <c r="T76" s="247">
        <f t="shared" si="38"/>
        <v>1370.7974005284657</v>
      </c>
      <c r="U76" s="247">
        <f t="shared" si="38"/>
        <v>1688.556210278997</v>
      </c>
      <c r="V76" s="247">
        <f t="shared" si="38"/>
        <v>2066.406352050548</v>
      </c>
      <c r="W76" s="247">
        <f t="shared" si="38"/>
        <v>2511.2035941582844</v>
      </c>
      <c r="X76" s="247">
        <f t="shared" si="38"/>
        <v>3008.4410590360562</v>
      </c>
      <c r="Y76" s="247">
        <f t="shared" si="38"/>
        <v>3563.280871385341</v>
      </c>
      <c r="Z76" s="247">
        <f t="shared" si="38"/>
        <v>4181.350896274248</v>
      </c>
      <c r="AA76" s="247">
        <f t="shared" si="38"/>
        <v>4868.784648377814</v>
      </c>
      <c r="AB76" s="247">
        <f t="shared" si="38"/>
        <v>5632.264506384136</v>
      </c>
      <c r="AC76" s="247">
        <f t="shared" si="38"/>
        <v>6479.068499734292</v>
      </c>
      <c r="AD76" s="247">
        <f t="shared" si="38"/>
        <v>7417.120956072187</v>
      </c>
      <c r="AE76" s="247">
        <f t="shared" si="38"/>
        <v>8455.04732064869</v>
      </c>
      <c r="AF76" s="247">
        <f t="shared" si="38"/>
        <v>9602.233483581149</v>
      </c>
    </row>
    <row r="77" spans="1:32" s="14" customFormat="1" ht="15">
      <c r="A77" s="13" t="s">
        <v>32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</row>
    <row r="78" spans="1:32" s="106" customFormat="1" ht="15">
      <c r="A78" s="168" t="s">
        <v>10</v>
      </c>
      <c r="B78" s="246">
        <f>'конкурсная документация'!B46</f>
        <v>500</v>
      </c>
      <c r="C78" s="247">
        <f>C37+C24+C15+C14+C76</f>
        <v>967.129273255814</v>
      </c>
      <c r="D78" s="247">
        <f aca="true" t="shared" si="39" ref="D78:AF78">D37+D24+D15+D14+D76</f>
        <v>1032.17214355829</v>
      </c>
      <c r="E78" s="247">
        <f t="shared" si="39"/>
        <v>1087.5796397330707</v>
      </c>
      <c r="F78" s="247">
        <f t="shared" si="39"/>
        <v>1145.9021916189354</v>
      </c>
      <c r="G78" s="247">
        <f t="shared" si="39"/>
        <v>1210.4053241628296</v>
      </c>
      <c r="H78" s="247">
        <f t="shared" si="39"/>
        <v>1278.8447222028722</v>
      </c>
      <c r="I78" s="247">
        <f t="shared" si="39"/>
        <v>1351.4943901069082</v>
      </c>
      <c r="J78" s="247">
        <f t="shared" si="39"/>
        <v>1428.6474173028942</v>
      </c>
      <c r="K78" s="247">
        <f t="shared" si="39"/>
        <v>1511.6785900301475</v>
      </c>
      <c r="L78" s="247">
        <f t="shared" si="39"/>
        <v>1598.863621221412</v>
      </c>
      <c r="M78" s="247">
        <f t="shared" si="39"/>
        <v>1694.289258496798</v>
      </c>
      <c r="N78" s="247">
        <f t="shared" si="39"/>
        <v>1801.4781742686373</v>
      </c>
      <c r="O78" s="247">
        <f t="shared" si="39"/>
        <v>1946.860116426514</v>
      </c>
      <c r="P78" s="247">
        <f t="shared" si="39"/>
        <v>2137.8140140636483</v>
      </c>
      <c r="Q78" s="247">
        <f t="shared" si="39"/>
        <v>2375.771198980267</v>
      </c>
      <c r="R78" s="247">
        <f t="shared" si="39"/>
        <v>2667.440407684457</v>
      </c>
      <c r="S78" s="247">
        <f t="shared" si="39"/>
        <v>3018.6305199717526</v>
      </c>
      <c r="T78" s="247">
        <f t="shared" si="39"/>
        <v>3435.700493056953</v>
      </c>
      <c r="U78" s="247">
        <f t="shared" si="39"/>
        <v>3885.0981033270746</v>
      </c>
      <c r="V78" s="247">
        <f t="shared" si="39"/>
        <v>4453.049593020213</v>
      </c>
      <c r="W78" s="247">
        <f t="shared" si="39"/>
        <v>5109.622158754932</v>
      </c>
      <c r="X78" s="247">
        <f t="shared" si="39"/>
        <v>5839.385921298261</v>
      </c>
      <c r="Y78" s="247">
        <f t="shared" si="39"/>
        <v>6649.370693134801</v>
      </c>
      <c r="Z78" s="247">
        <f t="shared" si="39"/>
        <v>7547.231839421188</v>
      </c>
      <c r="AA78" s="247">
        <f t="shared" si="39"/>
        <v>8541.303410275608</v>
      </c>
      <c r="AB78" s="247">
        <f t="shared" si="39"/>
        <v>9640.655646442754</v>
      </c>
      <c r="AC78" s="247">
        <f t="shared" si="39"/>
        <v>10855.157210262543</v>
      </c>
      <c r="AD78" s="247">
        <f t="shared" si="39"/>
        <v>12195.542521711635</v>
      </c>
      <c r="AE78" s="247">
        <f t="shared" si="39"/>
        <v>13673.48460930067</v>
      </c>
      <c r="AF78" s="247">
        <f t="shared" si="39"/>
        <v>15301.673917965236</v>
      </c>
    </row>
    <row r="79" spans="1:32" s="106" customFormat="1" ht="15">
      <c r="A79" s="168" t="s">
        <v>11</v>
      </c>
      <c r="B79" s="227"/>
      <c r="C79" s="250">
        <f>(C78-B78)/B78</f>
        <v>0.9342585465116281</v>
      </c>
      <c r="D79" s="250">
        <f>(D78-C78)/C78</f>
        <v>0.06725354314166383</v>
      </c>
      <c r="E79" s="250">
        <f aca="true" t="shared" si="40" ref="E79:AF79">(E78-D78)/D78</f>
        <v>0.05368048006388751</v>
      </c>
      <c r="F79" s="250">
        <f t="shared" si="40"/>
        <v>0.05362600563226707</v>
      </c>
      <c r="G79" s="250">
        <f t="shared" si="40"/>
        <v>0.05629026021214251</v>
      </c>
      <c r="H79" s="250">
        <f t="shared" si="40"/>
        <v>0.05654254543813931</v>
      </c>
      <c r="I79" s="250">
        <f t="shared" si="40"/>
        <v>0.056808826468700176</v>
      </c>
      <c r="J79" s="250">
        <f t="shared" si="40"/>
        <v>0.05708719752057784</v>
      </c>
      <c r="K79" s="250">
        <f t="shared" si="40"/>
        <v>0.058118729451109546</v>
      </c>
      <c r="L79" s="250">
        <f t="shared" si="40"/>
        <v>0.05767431765341448</v>
      </c>
      <c r="M79" s="250">
        <f t="shared" si="40"/>
        <v>0.05968341264934663</v>
      </c>
      <c r="N79" s="250">
        <f t="shared" si="40"/>
        <v>0.06326482637736783</v>
      </c>
      <c r="O79" s="250">
        <f t="shared" si="40"/>
        <v>0.08070147295395277</v>
      </c>
      <c r="P79" s="250">
        <f t="shared" si="40"/>
        <v>0.09808300864862987</v>
      </c>
      <c r="Q79" s="250">
        <f t="shared" si="40"/>
        <v>0.1113086467537461</v>
      </c>
      <c r="R79" s="250">
        <f t="shared" si="40"/>
        <v>0.12276822314765874</v>
      </c>
      <c r="S79" s="250">
        <f t="shared" si="40"/>
        <v>0.13165809113319815</v>
      </c>
      <c r="T79" s="250">
        <f t="shared" si="40"/>
        <v>0.13816529393902208</v>
      </c>
      <c r="U79" s="250">
        <f t="shared" si="40"/>
        <v>0.13080232435227937</v>
      </c>
      <c r="V79" s="250">
        <f t="shared" si="40"/>
        <v>0.14618716814557733</v>
      </c>
      <c r="W79" s="250">
        <f t="shared" si="40"/>
        <v>0.14744335359836136</v>
      </c>
      <c r="X79" s="250">
        <f t="shared" si="40"/>
        <v>0.14282147287406305</v>
      </c>
      <c r="Y79" s="250">
        <f t="shared" si="40"/>
        <v>0.13871060805935864</v>
      </c>
      <c r="Z79" s="250">
        <f t="shared" si="40"/>
        <v>0.13502949192070035</v>
      </c>
      <c r="AA79" s="250">
        <f t="shared" si="40"/>
        <v>0.1317134006222151</v>
      </c>
      <c r="AB79" s="250">
        <f t="shared" si="40"/>
        <v>0.12871012576892785</v>
      </c>
      <c r="AC79" s="250">
        <f t="shared" si="40"/>
        <v>0.12597707130716992</v>
      </c>
      <c r="AD79" s="250">
        <f t="shared" si="40"/>
        <v>0.12347912475941687</v>
      </c>
      <c r="AE79" s="250">
        <f t="shared" si="40"/>
        <v>0.12118707183037294</v>
      </c>
      <c r="AF79" s="250">
        <f t="shared" si="40"/>
        <v>0.11907639897126696</v>
      </c>
    </row>
    <row r="80" spans="1:32" s="106" customFormat="1" ht="15">
      <c r="A80" s="168" t="s">
        <v>92</v>
      </c>
      <c r="B80" s="246">
        <f>'конкурсная документация'!B47</f>
        <v>300</v>
      </c>
      <c r="C80" s="246">
        <f>'конкурсная документация'!C47</f>
        <v>300</v>
      </c>
      <c r="D80" s="246">
        <f>'конкурсная документация'!D47</f>
        <v>300</v>
      </c>
      <c r="E80" s="246">
        <f>'конкурсная документация'!E47</f>
        <v>300</v>
      </c>
      <c r="F80" s="246">
        <f>'конкурсная документация'!F47</f>
        <v>300</v>
      </c>
      <c r="G80" s="246">
        <f>'конкурсная документация'!G47</f>
        <v>300</v>
      </c>
      <c r="H80" s="246">
        <f>'конкурсная документация'!H47</f>
        <v>300</v>
      </c>
      <c r="I80" s="246">
        <f>'конкурсная документация'!I47</f>
        <v>300</v>
      </c>
      <c r="J80" s="246">
        <f>'конкурсная документация'!J47</f>
        <v>300</v>
      </c>
      <c r="K80" s="246">
        <f>'конкурсная документация'!K47</f>
        <v>300</v>
      </c>
      <c r="L80" s="246">
        <f>'конкурсная документация'!L47</f>
        <v>300</v>
      </c>
      <c r="M80" s="246">
        <f>'конкурсная документация'!M47</f>
        <v>300</v>
      </c>
      <c r="N80" s="246">
        <f>'конкурсная документация'!N47</f>
        <v>300</v>
      </c>
      <c r="O80" s="246">
        <f>'конкурсная документация'!O47</f>
        <v>300</v>
      </c>
      <c r="P80" s="246">
        <f>'конкурсная документация'!P47</f>
        <v>300</v>
      </c>
      <c r="Q80" s="246">
        <f>'конкурсная документация'!Q47</f>
        <v>300</v>
      </c>
      <c r="R80" s="246">
        <f>'конкурсная документация'!R47</f>
        <v>300</v>
      </c>
      <c r="S80" s="246">
        <f>'конкурсная документация'!S47</f>
        <v>300</v>
      </c>
      <c r="T80" s="246">
        <f>'конкурсная документация'!T47</f>
        <v>300</v>
      </c>
      <c r="U80" s="246">
        <f>'конкурсная документация'!U47</f>
        <v>300</v>
      </c>
      <c r="V80" s="246">
        <f>'конкурсная документация'!V47</f>
        <v>300</v>
      </c>
      <c r="W80" s="246">
        <f>'конкурсная документация'!W47</f>
        <v>300</v>
      </c>
      <c r="X80" s="246">
        <f>'конкурсная документация'!X47</f>
        <v>300</v>
      </c>
      <c r="Y80" s="246">
        <f>'конкурсная документация'!Y47</f>
        <v>300</v>
      </c>
      <c r="Z80" s="246">
        <f>'конкурсная документация'!Z47</f>
        <v>300</v>
      </c>
      <c r="AA80" s="246">
        <f>'конкурсная документация'!AA47</f>
        <v>300</v>
      </c>
      <c r="AB80" s="246">
        <f>'конкурсная документация'!AB47</f>
        <v>300</v>
      </c>
      <c r="AC80" s="246">
        <f>'конкурсная документация'!AC47</f>
        <v>300</v>
      </c>
      <c r="AD80" s="246">
        <f>'конкурсная документация'!AD47</f>
        <v>300</v>
      </c>
      <c r="AE80" s="246">
        <f>'конкурсная документация'!AE47</f>
        <v>300</v>
      </c>
      <c r="AF80" s="246">
        <f>'конкурсная документация'!AF47</f>
        <v>300</v>
      </c>
    </row>
    <row r="81" spans="1:32" s="106" customFormat="1" ht="14.25" customHeight="1">
      <c r="A81" s="168" t="s">
        <v>22</v>
      </c>
      <c r="B81" s="230">
        <f>B78*1000/B80</f>
        <v>1666.6666666666667</v>
      </c>
      <c r="C81" s="230">
        <f>C78*1000/C80</f>
        <v>3223.764244186047</v>
      </c>
      <c r="D81" s="230">
        <f aca="true" t="shared" si="41" ref="D81:AF81">D78*1000/D80</f>
        <v>3440.5738118609665</v>
      </c>
      <c r="E81" s="230">
        <f t="shared" si="41"/>
        <v>3625.2654657769026</v>
      </c>
      <c r="F81" s="230">
        <f t="shared" si="41"/>
        <v>3819.673972063118</v>
      </c>
      <c r="G81" s="230">
        <f t="shared" si="41"/>
        <v>4034.684413876099</v>
      </c>
      <c r="H81" s="230">
        <f t="shared" si="41"/>
        <v>4262.81574067624</v>
      </c>
      <c r="I81" s="230">
        <f t="shared" si="41"/>
        <v>4504.981300356361</v>
      </c>
      <c r="J81" s="230">
        <f t="shared" si="41"/>
        <v>4762.158057676314</v>
      </c>
      <c r="K81" s="230">
        <f t="shared" si="41"/>
        <v>5038.928633433825</v>
      </c>
      <c r="L81" s="230">
        <f t="shared" si="41"/>
        <v>5329.545404071373</v>
      </c>
      <c r="M81" s="230">
        <f t="shared" si="41"/>
        <v>5647.630861655994</v>
      </c>
      <c r="N81" s="230">
        <f t="shared" si="41"/>
        <v>6004.927247562125</v>
      </c>
      <c r="O81" s="230">
        <f t="shared" si="41"/>
        <v>6489.533721421713</v>
      </c>
      <c r="P81" s="230">
        <f t="shared" si="41"/>
        <v>7126.046713545495</v>
      </c>
      <c r="Q81" s="230">
        <f t="shared" si="41"/>
        <v>7919.237329934223</v>
      </c>
      <c r="R81" s="230">
        <f t="shared" si="41"/>
        <v>8891.468025614857</v>
      </c>
      <c r="S81" s="230">
        <f t="shared" si="41"/>
        <v>10062.101733239175</v>
      </c>
      <c r="T81" s="230">
        <f t="shared" si="41"/>
        <v>11452.33497685651</v>
      </c>
      <c r="U81" s="230">
        <f t="shared" si="41"/>
        <v>12950.327011090249</v>
      </c>
      <c r="V81" s="230">
        <f t="shared" si="41"/>
        <v>14843.49864340071</v>
      </c>
      <c r="W81" s="230">
        <f t="shared" si="41"/>
        <v>17032.073862516438</v>
      </c>
      <c r="X81" s="230">
        <f t="shared" si="41"/>
        <v>19464.61973766087</v>
      </c>
      <c r="Y81" s="230">
        <f t="shared" si="41"/>
        <v>22164.568977116003</v>
      </c>
      <c r="Z81" s="230">
        <f t="shared" si="41"/>
        <v>25157.43946473729</v>
      </c>
      <c r="AA81" s="230">
        <f t="shared" si="41"/>
        <v>28471.01136758536</v>
      </c>
      <c r="AB81" s="230">
        <f t="shared" si="41"/>
        <v>32135.51882147585</v>
      </c>
      <c r="AC81" s="230">
        <f t="shared" si="41"/>
        <v>36183.85736754181</v>
      </c>
      <c r="AD81" s="230">
        <f t="shared" si="41"/>
        <v>40651.80840570545</v>
      </c>
      <c r="AE81" s="230">
        <f t="shared" si="41"/>
        <v>45578.282031002236</v>
      </c>
      <c r="AF81" s="230">
        <f t="shared" si="41"/>
        <v>51005.579726550786</v>
      </c>
    </row>
    <row r="82" spans="1:32" s="106" customFormat="1" ht="15">
      <c r="A82" s="168" t="s">
        <v>12</v>
      </c>
      <c r="B82" s="230"/>
      <c r="C82" s="250">
        <f>(C81-B81)/B81</f>
        <v>0.9342585465116282</v>
      </c>
      <c r="D82" s="250">
        <f>(D81-C81)/C81</f>
        <v>0.06725354314166378</v>
      </c>
      <c r="E82" s="250">
        <f aca="true" t="shared" si="42" ref="E82:AF82">(E81-D81)/D81</f>
        <v>0.05368048006388751</v>
      </c>
      <c r="F82" s="250">
        <f t="shared" si="42"/>
        <v>0.05362600563226707</v>
      </c>
      <c r="G82" s="250">
        <f t="shared" si="42"/>
        <v>0.0562902602121425</v>
      </c>
      <c r="H82" s="250">
        <f t="shared" si="42"/>
        <v>0.05654254543813919</v>
      </c>
      <c r="I82" s="250">
        <f t="shared" si="42"/>
        <v>0.0568088264687004</v>
      </c>
      <c r="J82" s="250">
        <f t="shared" si="42"/>
        <v>0.05708719752057762</v>
      </c>
      <c r="K82" s="250">
        <f t="shared" si="42"/>
        <v>0.058118729451109616</v>
      </c>
      <c r="L82" s="250">
        <f t="shared" si="42"/>
        <v>0.05767431765341448</v>
      </c>
      <c r="M82" s="250">
        <f t="shared" si="42"/>
        <v>0.05968341264934663</v>
      </c>
      <c r="N82" s="250">
        <f t="shared" si="42"/>
        <v>0.06326482637736788</v>
      </c>
      <c r="O82" s="250">
        <f t="shared" si="42"/>
        <v>0.08070147295395275</v>
      </c>
      <c r="P82" s="250">
        <f t="shared" si="42"/>
        <v>0.0980830086486299</v>
      </c>
      <c r="Q82" s="250">
        <f t="shared" si="42"/>
        <v>0.1113086467537461</v>
      </c>
      <c r="R82" s="250">
        <f t="shared" si="42"/>
        <v>0.12276822314765866</v>
      </c>
      <c r="S82" s="250">
        <f t="shared" si="42"/>
        <v>0.13165809113319812</v>
      </c>
      <c r="T82" s="250">
        <f t="shared" si="42"/>
        <v>0.13816529393902213</v>
      </c>
      <c r="U82" s="250">
        <f t="shared" si="42"/>
        <v>0.13080232435227937</v>
      </c>
      <c r="V82" s="250">
        <f t="shared" si="42"/>
        <v>0.14618716814557725</v>
      </c>
      <c r="W82" s="250">
        <f t="shared" si="42"/>
        <v>0.14744335359836136</v>
      </c>
      <c r="X82" s="250">
        <f t="shared" si="42"/>
        <v>0.14282147287406313</v>
      </c>
      <c r="Y82" s="250">
        <f t="shared" si="42"/>
        <v>0.13871060805935873</v>
      </c>
      <c r="Z82" s="250">
        <f t="shared" si="42"/>
        <v>0.13502949192070016</v>
      </c>
      <c r="AA82" s="250">
        <f t="shared" si="42"/>
        <v>0.13171340062221523</v>
      </c>
      <c r="AB82" s="250">
        <f t="shared" si="42"/>
        <v>0.12871012576892793</v>
      </c>
      <c r="AC82" s="250">
        <f t="shared" si="42"/>
        <v>0.12597707130716976</v>
      </c>
      <c r="AD82" s="250">
        <f t="shared" si="42"/>
        <v>0.12347912475941694</v>
      </c>
      <c r="AE82" s="250">
        <f t="shared" si="42"/>
        <v>0.12118707183037294</v>
      </c>
      <c r="AF82" s="250">
        <f t="shared" si="42"/>
        <v>0.11907639897126696</v>
      </c>
    </row>
    <row r="83" spans="1:32" s="75" customFormat="1" ht="21" customHeight="1">
      <c r="A83" s="70" t="s">
        <v>133</v>
      </c>
      <c r="B83" s="131"/>
      <c r="C83" s="132"/>
      <c r="D83" s="132"/>
      <c r="E83" s="132"/>
      <c r="F83" s="131"/>
      <c r="G83" s="131"/>
      <c r="H83" s="131"/>
      <c r="I83" s="131"/>
      <c r="J83" s="131"/>
      <c r="K83" s="132"/>
      <c r="L83" s="132"/>
      <c r="M83" s="132"/>
      <c r="N83" s="132"/>
      <c r="O83" s="132"/>
      <c r="P83" s="131"/>
      <c r="Q83" s="131"/>
      <c r="R83" s="131"/>
      <c r="S83" s="131"/>
      <c r="T83" s="131"/>
      <c r="U83" s="132"/>
      <c r="V83" s="132"/>
      <c r="W83" s="133"/>
      <c r="X83" s="134"/>
      <c r="Y83" s="134"/>
      <c r="Z83" s="134"/>
      <c r="AA83" s="134"/>
      <c r="AB83" s="134"/>
      <c r="AC83" s="134"/>
      <c r="AD83" s="134"/>
      <c r="AE83" s="134"/>
      <c r="AF83" s="134"/>
    </row>
    <row r="84" spans="1:32" s="106" customFormat="1" ht="62.25" customHeight="1">
      <c r="A84" s="253" t="s">
        <v>137</v>
      </c>
      <c r="B84" s="227"/>
      <c r="C84" s="246">
        <f aca="true" t="shared" si="43" ref="C84:AF84">C85*C86/1000</f>
        <v>0.792</v>
      </c>
      <c r="D84" s="246">
        <f t="shared" si="43"/>
        <v>0.792</v>
      </c>
      <c r="E84" s="246">
        <f t="shared" si="43"/>
        <v>0.7704000000000001</v>
      </c>
      <c r="F84" s="246">
        <f t="shared" si="43"/>
        <v>0.7632000000000001</v>
      </c>
      <c r="G84" s="246">
        <f t="shared" si="43"/>
        <v>0.7632000000000001</v>
      </c>
      <c r="H84" s="246">
        <f t="shared" si="43"/>
        <v>0.7632000000000001</v>
      </c>
      <c r="I84" s="246">
        <f t="shared" si="43"/>
        <v>0.7632000000000001</v>
      </c>
      <c r="J84" s="246">
        <f t="shared" si="43"/>
        <v>0.7632000000000001</v>
      </c>
      <c r="K84" s="246">
        <f t="shared" si="43"/>
        <v>0.7632000000000001</v>
      </c>
      <c r="L84" s="246">
        <f t="shared" si="43"/>
        <v>0.7632000000000001</v>
      </c>
      <c r="M84" s="246">
        <f t="shared" si="43"/>
        <v>0.7632000000000001</v>
      </c>
      <c r="N84" s="246">
        <f t="shared" si="43"/>
        <v>0.7632000000000001</v>
      </c>
      <c r="O84" s="246">
        <f t="shared" si="43"/>
        <v>0.7632000000000001</v>
      </c>
      <c r="P84" s="246">
        <f t="shared" si="43"/>
        <v>0.7632000000000001</v>
      </c>
      <c r="Q84" s="246">
        <f t="shared" si="43"/>
        <v>0.7632000000000001</v>
      </c>
      <c r="R84" s="246">
        <f t="shared" si="43"/>
        <v>0.7632000000000001</v>
      </c>
      <c r="S84" s="246">
        <f t="shared" si="43"/>
        <v>0.7632000000000001</v>
      </c>
      <c r="T84" s="246">
        <f t="shared" si="43"/>
        <v>0.7632000000000001</v>
      </c>
      <c r="U84" s="246">
        <f t="shared" si="43"/>
        <v>0.7632000000000001</v>
      </c>
      <c r="V84" s="246">
        <f t="shared" si="43"/>
        <v>0.7632000000000001</v>
      </c>
      <c r="W84" s="246">
        <f t="shared" si="43"/>
        <v>0.7632000000000001</v>
      </c>
      <c r="X84" s="246">
        <f t="shared" si="43"/>
        <v>0.7632000000000001</v>
      </c>
      <c r="Y84" s="246">
        <f t="shared" si="43"/>
        <v>0.7632000000000001</v>
      </c>
      <c r="Z84" s="246">
        <f t="shared" si="43"/>
        <v>0.7632000000000001</v>
      </c>
      <c r="AA84" s="246">
        <f t="shared" si="43"/>
        <v>0.7632000000000001</v>
      </c>
      <c r="AB84" s="246">
        <f t="shared" si="43"/>
        <v>0.7632000000000001</v>
      </c>
      <c r="AC84" s="246">
        <f t="shared" si="43"/>
        <v>0.7632000000000001</v>
      </c>
      <c r="AD84" s="246">
        <f t="shared" si="43"/>
        <v>0.7632000000000001</v>
      </c>
      <c r="AE84" s="246">
        <f t="shared" si="43"/>
        <v>0.7632000000000001</v>
      </c>
      <c r="AF84" s="246">
        <f t="shared" si="43"/>
        <v>0.7632000000000001</v>
      </c>
    </row>
    <row r="85" spans="1:32" s="106" customFormat="1" ht="48" customHeight="1">
      <c r="A85" s="181" t="s">
        <v>134</v>
      </c>
      <c r="B85" s="227"/>
      <c r="C85" s="246">
        <f>'конкурсная документация'!C$49</f>
        <v>18</v>
      </c>
      <c r="D85" s="246">
        <f>'конкурсная документация'!D$49</f>
        <v>18</v>
      </c>
      <c r="E85" s="246">
        <f>'конкурсная документация'!E$49</f>
        <v>18</v>
      </c>
      <c r="F85" s="246">
        <f>'конкурсная документация'!F$49</f>
        <v>18</v>
      </c>
      <c r="G85" s="246">
        <f>'конкурсная документация'!G$49</f>
        <v>18</v>
      </c>
      <c r="H85" s="246">
        <f>'конкурсная документация'!H$49</f>
        <v>18</v>
      </c>
      <c r="I85" s="246">
        <f>'конкурсная документация'!I$49</f>
        <v>18</v>
      </c>
      <c r="J85" s="246">
        <f>'конкурсная документация'!J$49</f>
        <v>18</v>
      </c>
      <c r="K85" s="246">
        <f>'конкурсная документация'!K$49</f>
        <v>18</v>
      </c>
      <c r="L85" s="246">
        <f>'конкурсная документация'!L$49</f>
        <v>18</v>
      </c>
      <c r="M85" s="246">
        <f>'конкурсная документация'!M$49</f>
        <v>18</v>
      </c>
      <c r="N85" s="246">
        <f>'конкурсная документация'!N$49</f>
        <v>18</v>
      </c>
      <c r="O85" s="246">
        <f>'конкурсная документация'!O$49</f>
        <v>18</v>
      </c>
      <c r="P85" s="246">
        <f>'конкурсная документация'!P$49</f>
        <v>18</v>
      </c>
      <c r="Q85" s="246">
        <f>'конкурсная документация'!Q$49</f>
        <v>18</v>
      </c>
      <c r="R85" s="246">
        <f>'конкурсная документация'!R$49</f>
        <v>18</v>
      </c>
      <c r="S85" s="246">
        <f>'конкурсная документация'!S$49</f>
        <v>18</v>
      </c>
      <c r="T85" s="246">
        <f>'конкурсная документация'!T$49</f>
        <v>18</v>
      </c>
      <c r="U85" s="246">
        <f>'конкурсная документация'!U$49</f>
        <v>18</v>
      </c>
      <c r="V85" s="246">
        <f>'конкурсная документация'!V$49</f>
        <v>18</v>
      </c>
      <c r="W85" s="246">
        <f>'конкурсная документация'!W$49</f>
        <v>18</v>
      </c>
      <c r="X85" s="246">
        <f>'конкурсная документация'!X$49</f>
        <v>18</v>
      </c>
      <c r="Y85" s="246">
        <f>'конкурсная документация'!Y$49</f>
        <v>18</v>
      </c>
      <c r="Z85" s="246">
        <f>'конкурсная документация'!Z$49</f>
        <v>18</v>
      </c>
      <c r="AA85" s="246">
        <f>'конкурсная документация'!AA$49</f>
        <v>18</v>
      </c>
      <c r="AB85" s="246">
        <f>'конкурсная документация'!AB$49</f>
        <v>18</v>
      </c>
      <c r="AC85" s="246">
        <f>'конкурсная документация'!AC$49</f>
        <v>18</v>
      </c>
      <c r="AD85" s="246">
        <f>'конкурсная документация'!AD$49</f>
        <v>18</v>
      </c>
      <c r="AE85" s="246">
        <f>'конкурсная документация'!AE$49</f>
        <v>18</v>
      </c>
      <c r="AF85" s="246">
        <f>'конкурсная документация'!AF$49</f>
        <v>18</v>
      </c>
    </row>
    <row r="86" spans="1:32" s="106" customFormat="1" ht="18.75" customHeight="1">
      <c r="A86" s="181" t="s">
        <v>135</v>
      </c>
      <c r="B86" s="227"/>
      <c r="C86" s="246">
        <f>'конкурсная документация'!$B$15*(1+'конкурсная документация'!C$20)</f>
        <v>44</v>
      </c>
      <c r="D86" s="246">
        <f>'конкурсная документация'!$B$15*(1+'конкурсная документация'!D$20)</f>
        <v>44</v>
      </c>
      <c r="E86" s="246">
        <f>'конкурсная документация'!$B$15*(1+'конкурсная документация'!E$20)</f>
        <v>42.800000000000004</v>
      </c>
      <c r="F86" s="246">
        <f>'конкурсная документация'!$B$15*(1+'конкурсная документация'!F$20)</f>
        <v>42.400000000000006</v>
      </c>
      <c r="G86" s="246">
        <f>'конкурсная документация'!$B$15*(1+'конкурсная документация'!G$20)</f>
        <v>42.400000000000006</v>
      </c>
      <c r="H86" s="246">
        <f>'конкурсная документация'!$B$15*(1+'конкурсная документация'!H$20)</f>
        <v>42.400000000000006</v>
      </c>
      <c r="I86" s="246">
        <f>'конкурсная документация'!$B$15*(1+'конкурсная документация'!I$20)</f>
        <v>42.400000000000006</v>
      </c>
      <c r="J86" s="246">
        <f>'конкурсная документация'!$B$15*(1+'конкурсная документация'!J$20)</f>
        <v>42.400000000000006</v>
      </c>
      <c r="K86" s="246">
        <f>'конкурсная документация'!$B$15*(1+'конкурсная документация'!K$20)</f>
        <v>42.400000000000006</v>
      </c>
      <c r="L86" s="246">
        <f>'конкурсная документация'!$B$15*(1+'конкурсная документация'!L$20)</f>
        <v>42.400000000000006</v>
      </c>
      <c r="M86" s="246">
        <f>'конкурсная документация'!$B$15*(1+'конкурсная документация'!M$20)</f>
        <v>42.400000000000006</v>
      </c>
      <c r="N86" s="246">
        <f>'конкурсная документация'!$B$15*(1+'конкурсная документация'!N$20)</f>
        <v>42.400000000000006</v>
      </c>
      <c r="O86" s="246">
        <f>'конкурсная документация'!$B$15*(1+'конкурсная документация'!O$20)</f>
        <v>42.400000000000006</v>
      </c>
      <c r="P86" s="246">
        <f>'конкурсная документация'!$B$15*(1+'конкурсная документация'!P$20)</f>
        <v>42.400000000000006</v>
      </c>
      <c r="Q86" s="246">
        <f>'конкурсная документация'!$B$15*(1+'конкурсная документация'!Q$20)</f>
        <v>42.400000000000006</v>
      </c>
      <c r="R86" s="246">
        <f>'конкурсная документация'!$B$15*(1+'конкурсная документация'!R$20)</f>
        <v>42.400000000000006</v>
      </c>
      <c r="S86" s="246">
        <f>'конкурсная документация'!$B$15*(1+'конкурсная документация'!S$20)</f>
        <v>42.400000000000006</v>
      </c>
      <c r="T86" s="246">
        <f>'конкурсная документация'!$B$15*(1+'конкурсная документация'!T$20)</f>
        <v>42.400000000000006</v>
      </c>
      <c r="U86" s="246">
        <f>'конкурсная документация'!$B$15*(1+'конкурсная документация'!U$20)</f>
        <v>42.400000000000006</v>
      </c>
      <c r="V86" s="246">
        <f>'конкурсная документация'!$B$15*(1+'конкурсная документация'!V$20)</f>
        <v>42.400000000000006</v>
      </c>
      <c r="W86" s="246">
        <f>'конкурсная документация'!$B$15*(1+'конкурсная документация'!W$20)</f>
        <v>42.400000000000006</v>
      </c>
      <c r="X86" s="246">
        <f>'конкурсная документация'!$B$15*(1+'конкурсная документация'!X$20)</f>
        <v>42.400000000000006</v>
      </c>
      <c r="Y86" s="246">
        <f>'конкурсная документация'!$B$15*(1+'конкурсная документация'!Y$20)</f>
        <v>42.400000000000006</v>
      </c>
      <c r="Z86" s="246">
        <f>'конкурсная документация'!$B$15*(1+'конкурсная документация'!Z$20)</f>
        <v>42.400000000000006</v>
      </c>
      <c r="AA86" s="246">
        <f>'конкурсная документация'!$B$15*(1+'конкурсная документация'!AA$20)</f>
        <v>42.400000000000006</v>
      </c>
      <c r="AB86" s="246">
        <f>'конкурсная документация'!$B$15*(1+'конкурсная документация'!AB$20)</f>
        <v>42.400000000000006</v>
      </c>
      <c r="AC86" s="246">
        <f>'конкурсная документация'!$B$15*(1+'конкурсная документация'!AC$20)</f>
        <v>42.400000000000006</v>
      </c>
      <c r="AD86" s="246">
        <f>'конкурсная документация'!$B$15*(1+'конкурсная документация'!AD$20)</f>
        <v>42.400000000000006</v>
      </c>
      <c r="AE86" s="246">
        <f>'конкурсная документация'!$B$15*(1+'конкурсная документация'!AE$20)</f>
        <v>42.400000000000006</v>
      </c>
      <c r="AF86" s="246">
        <f>'конкурсная документация'!$B$15*(1+'конкурсная документация'!AF$20)</f>
        <v>42.400000000000006</v>
      </c>
    </row>
    <row r="87" spans="1:32" s="26" customFormat="1" ht="15">
      <c r="A87" s="12" t="s">
        <v>42</v>
      </c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7"/>
      <c r="X87" s="138"/>
      <c r="Y87" s="138"/>
      <c r="Z87" s="138"/>
      <c r="AA87" s="138"/>
      <c r="AB87" s="138"/>
      <c r="AC87" s="138"/>
      <c r="AD87" s="138"/>
      <c r="AE87" s="138"/>
      <c r="AF87" s="138"/>
    </row>
    <row r="88" spans="1:32" s="106" customFormat="1" ht="15">
      <c r="A88" s="255" t="s">
        <v>44</v>
      </c>
      <c r="B88" s="227"/>
      <c r="C88" s="227">
        <f>SUM(C89:C90)</f>
        <v>978.9212732558141</v>
      </c>
      <c r="D88" s="227">
        <f aca="true" t="shared" si="44" ref="D88:AF88">SUM(D89:D90)</f>
        <v>1045.0641435582897</v>
      </c>
      <c r="E88" s="227">
        <f t="shared" si="44"/>
        <v>1101.1760397330709</v>
      </c>
      <c r="F88" s="227">
        <f t="shared" si="44"/>
        <v>1160.3892116189354</v>
      </c>
      <c r="G88" s="227">
        <f t="shared" si="44"/>
        <v>1225.8530115628298</v>
      </c>
      <c r="H88" s="227">
        <f t="shared" si="44"/>
        <v>1295.3203237208722</v>
      </c>
      <c r="I88" s="227">
        <f t="shared" si="44"/>
        <v>1369.0698597311682</v>
      </c>
      <c r="J88" s="227">
        <f t="shared" si="44"/>
        <v>1447.3997458008525</v>
      </c>
      <c r="K88" s="227">
        <f t="shared" si="44"/>
        <v>1531.6901575229629</v>
      </c>
      <c r="L88" s="227">
        <f t="shared" si="44"/>
        <v>1620.2225744387245</v>
      </c>
      <c r="M88" s="227">
        <f t="shared" si="44"/>
        <v>1717.0899144393225</v>
      </c>
      <c r="N88" s="227">
        <f t="shared" si="44"/>
        <v>1825.8214521271384</v>
      </c>
      <c r="O88" s="227">
        <f t="shared" si="44"/>
        <v>1972.85399973511</v>
      </c>
      <c r="P88" s="227">
        <f t="shared" si="44"/>
        <v>2165.574045203846</v>
      </c>
      <c r="Q88" s="227">
        <f t="shared" si="44"/>
        <v>2405.4210083002786</v>
      </c>
      <c r="R88" s="227">
        <f t="shared" si="44"/>
        <v>2699.1122796568693</v>
      </c>
      <c r="S88" s="227">
        <f t="shared" si="44"/>
        <v>3052.4659989822335</v>
      </c>
      <c r="T88" s="227">
        <f t="shared" si="44"/>
        <v>3471.8510315981675</v>
      </c>
      <c r="U88" s="227">
        <f t="shared" si="44"/>
        <v>3923.7257555661745</v>
      </c>
      <c r="V88" s="227">
        <f t="shared" si="44"/>
        <v>4494.327756916051</v>
      </c>
      <c r="W88" s="227">
        <f t="shared" si="44"/>
        <v>5153.736370123477</v>
      </c>
      <c r="X88" s="227">
        <f t="shared" si="44"/>
        <v>5886.534703462605</v>
      </c>
      <c r="Y88" s="227">
        <f t="shared" si="44"/>
        <v>6699.766466050649</v>
      </c>
      <c r="Z88" s="227">
        <f t="shared" si="44"/>
        <v>7601.1018924411455</v>
      </c>
      <c r="AA88" s="227">
        <f t="shared" si="44"/>
        <v>8598.890943006962</v>
      </c>
      <c r="AB88" s="227">
        <f t="shared" si="44"/>
        <v>9702.220882465303</v>
      </c>
      <c r="AC88" s="227">
        <f t="shared" si="44"/>
        <v>10920.97858880667</v>
      </c>
      <c r="AD88" s="227">
        <f t="shared" si="44"/>
        <v>12265.91797275385</v>
      </c>
      <c r="AE88" s="227">
        <f t="shared" si="44"/>
        <v>13748.732917915842</v>
      </c>
      <c r="AF88" s="227">
        <f t="shared" si="44"/>
        <v>15382.13618418347</v>
      </c>
    </row>
    <row r="89" spans="1:32" s="106" customFormat="1" ht="15">
      <c r="A89" s="256" t="s">
        <v>39</v>
      </c>
      <c r="B89" s="227"/>
      <c r="C89" s="227">
        <f>C78+C84</f>
        <v>967.9212732558141</v>
      </c>
      <c r="D89" s="227">
        <f aca="true" t="shared" si="45" ref="D89:AF89">D78+D84</f>
        <v>1032.9641435582898</v>
      </c>
      <c r="E89" s="227">
        <f t="shared" si="45"/>
        <v>1088.3500397330708</v>
      </c>
      <c r="F89" s="227">
        <f t="shared" si="45"/>
        <v>1146.6653916189355</v>
      </c>
      <c r="G89" s="227">
        <f t="shared" si="45"/>
        <v>1211.1685241628297</v>
      </c>
      <c r="H89" s="227">
        <f t="shared" si="45"/>
        <v>1279.6079222028723</v>
      </c>
      <c r="I89" s="227">
        <f t="shared" si="45"/>
        <v>1352.2575901069083</v>
      </c>
      <c r="J89" s="227">
        <f t="shared" si="45"/>
        <v>1429.4106173028943</v>
      </c>
      <c r="K89" s="227">
        <f t="shared" si="45"/>
        <v>1512.4417900301476</v>
      </c>
      <c r="L89" s="227">
        <f t="shared" si="45"/>
        <v>1599.626821221412</v>
      </c>
      <c r="M89" s="227">
        <f t="shared" si="45"/>
        <v>1695.0524584967982</v>
      </c>
      <c r="N89" s="227">
        <f t="shared" si="45"/>
        <v>1802.2413742686374</v>
      </c>
      <c r="O89" s="227">
        <f t="shared" si="45"/>
        <v>1947.623316426514</v>
      </c>
      <c r="P89" s="227">
        <f t="shared" si="45"/>
        <v>2138.577214063648</v>
      </c>
      <c r="Q89" s="227">
        <f t="shared" si="45"/>
        <v>2376.534398980267</v>
      </c>
      <c r="R89" s="227">
        <f t="shared" si="45"/>
        <v>2668.203607684457</v>
      </c>
      <c r="S89" s="227">
        <f t="shared" si="45"/>
        <v>3019.3937199717525</v>
      </c>
      <c r="T89" s="227">
        <f t="shared" si="45"/>
        <v>3436.4636930569527</v>
      </c>
      <c r="U89" s="227">
        <f t="shared" si="45"/>
        <v>3885.8613033270744</v>
      </c>
      <c r="V89" s="227">
        <f t="shared" si="45"/>
        <v>4453.812793020214</v>
      </c>
      <c r="W89" s="227">
        <f t="shared" si="45"/>
        <v>5110.385358754932</v>
      </c>
      <c r="X89" s="227">
        <f t="shared" si="45"/>
        <v>5840.149121298261</v>
      </c>
      <c r="Y89" s="227">
        <f t="shared" si="45"/>
        <v>6650.133893134801</v>
      </c>
      <c r="Z89" s="227">
        <f t="shared" si="45"/>
        <v>7547.995039421188</v>
      </c>
      <c r="AA89" s="227">
        <f t="shared" si="45"/>
        <v>8542.066610275608</v>
      </c>
      <c r="AB89" s="227">
        <f t="shared" si="45"/>
        <v>9641.418846442753</v>
      </c>
      <c r="AC89" s="227">
        <f t="shared" si="45"/>
        <v>10855.920410262543</v>
      </c>
      <c r="AD89" s="227">
        <f t="shared" si="45"/>
        <v>12196.305721711635</v>
      </c>
      <c r="AE89" s="227">
        <f t="shared" si="45"/>
        <v>13674.24780930067</v>
      </c>
      <c r="AF89" s="227">
        <f t="shared" si="45"/>
        <v>15302.437117965235</v>
      </c>
    </row>
    <row r="90" spans="1:32" s="273" customFormat="1" ht="84.75" customHeight="1">
      <c r="A90" s="286" t="s">
        <v>187</v>
      </c>
      <c r="B90" s="271"/>
      <c r="C90" s="271">
        <f>IF('основные условия'!$J$8=1,'конкурсные предложения'!B16,'конкурсные предложения'!B19)*C12</f>
        <v>11</v>
      </c>
      <c r="D90" s="271">
        <f>IF('основные условия'!$J$8=1,'конкурсные предложения'!C16,'конкурсные предложения'!C19)*D12</f>
        <v>12.100000000000001</v>
      </c>
      <c r="E90" s="271">
        <f>IF('основные условия'!$J$8=1,'конкурсные предложения'!D16,'конкурсные предложения'!D19)*E12</f>
        <v>12.826000000000002</v>
      </c>
      <c r="F90" s="271">
        <f>IF('основные условия'!$J$8=1,'конкурсные предложения'!E16,'конкурсные предложения'!E19)*F12</f>
        <v>13.723820000000002</v>
      </c>
      <c r="G90" s="271">
        <f>IF('основные условия'!$J$8=1,'конкурсные предложения'!F16,'конкурсные предложения'!F19)*G12</f>
        <v>14.684487400000004</v>
      </c>
      <c r="H90" s="271">
        <f>IF('основные условия'!$J$8=1,'конкурсные предложения'!G16,'конкурсные предложения'!G19)*H12</f>
        <v>15.712401518000005</v>
      </c>
      <c r="I90" s="271">
        <f>IF('основные условия'!$J$8=1,'конкурсные предложения'!H16,'конкурсные предложения'!H19)*I12</f>
        <v>16.812269624260008</v>
      </c>
      <c r="J90" s="271">
        <f>IF('основные условия'!$J$8=1,'конкурсные предложения'!I16,'конкурсные предложения'!I19)*J12</f>
        <v>17.98912849795821</v>
      </c>
      <c r="K90" s="271">
        <f>IF('основные условия'!$J$8=1,'конкурсные предложения'!J16,'конкурсные предложения'!J19)*K12</f>
        <v>19.248367492815284</v>
      </c>
      <c r="L90" s="271">
        <f>IF('основные условия'!$J$8=1,'конкурсные предложения'!K16,'конкурсные предложения'!K19)*L12</f>
        <v>20.595753217312357</v>
      </c>
      <c r="M90" s="271">
        <f>IF('основные условия'!$J$8=1,'конкурсные предложения'!L16,'конкурсные предложения'!L19)*M12</f>
        <v>22.03745594252422</v>
      </c>
      <c r="N90" s="271">
        <f>IF('основные условия'!$J$8=1,'конкурсные предложения'!M16,'конкурсные предложения'!M19)*N12</f>
        <v>23.580077858500918</v>
      </c>
      <c r="O90" s="271">
        <f>IF('основные условия'!$J$8=1,'конкурсные предложения'!N16,'конкурсные предложения'!N19)*O12</f>
        <v>25.23068330859598</v>
      </c>
      <c r="P90" s="271">
        <f>IF('основные условия'!$J$8=1,'конкурсные предложения'!O16,'конкурсные предложения'!O19)*P12</f>
        <v>26.996831140197703</v>
      </c>
      <c r="Q90" s="271">
        <f>IF('основные условия'!$J$8=1,'конкурсные предложения'!P16,'конкурсные предложения'!P19)*Q12</f>
        <v>28.886609320011544</v>
      </c>
      <c r="R90" s="271">
        <f>IF('основные условия'!$J$8=1,'конкурсные предложения'!Q16,'конкурсные предложения'!Q19)*R12</f>
        <v>30.90867197241235</v>
      </c>
      <c r="S90" s="271">
        <f>IF('основные условия'!$J$8=1,'конкурсные предложения'!R16,'конкурсные предложения'!R19)*S12</f>
        <v>33.07227901048122</v>
      </c>
      <c r="T90" s="271">
        <f>IF('основные условия'!$J$8=1,'конкурсные предложения'!S16,'конкурсные предложения'!S19)*T12</f>
        <v>35.3873385412149</v>
      </c>
      <c r="U90" s="271">
        <f>IF('основные условия'!$J$8=1,'конкурсные предложения'!T16,'конкурсные предложения'!T19)*U12</f>
        <v>37.86445223909995</v>
      </c>
      <c r="V90" s="271">
        <f>IF('основные условия'!$J$8=1,'конкурсные предложения'!U16,'конкурсные предложения'!U19)*V12</f>
        <v>40.51496389583694</v>
      </c>
      <c r="W90" s="271">
        <f>IF('основные условия'!$J$8=1,'конкурсные предложения'!V16,'конкурсные предложения'!V19)*W12</f>
        <v>43.351011368545535</v>
      </c>
      <c r="X90" s="271">
        <f>IF('основные условия'!$J$8=1,'конкурсные предложения'!W16,'конкурсные предложения'!W19)*X12</f>
        <v>46.385582164343724</v>
      </c>
      <c r="Y90" s="271">
        <f>IF('основные условия'!$J$8=1,'конкурсные предложения'!X16,'конкурсные предложения'!X19)*Y12</f>
        <v>49.63257291584779</v>
      </c>
      <c r="Z90" s="271">
        <f>IF('основные условия'!$J$8=1,'конкурсные предложения'!Y16,'конкурсные предложения'!Y19)*Z12</f>
        <v>53.10685301995714</v>
      </c>
      <c r="AA90" s="271">
        <f>IF('основные условия'!$J$8=1,'конкурсные предложения'!Z16,'конкурсные предложения'!Z19)*AA12</f>
        <v>56.82433273135415</v>
      </c>
      <c r="AB90" s="271">
        <f>IF('основные условия'!$J$8=1,'конкурсные предложения'!AA16,'конкурсные предложения'!AA19)*AB12</f>
        <v>60.80203602254894</v>
      </c>
      <c r="AC90" s="271">
        <f>IF('основные условия'!$J$8=1,'конкурсные предложения'!AB16,'конкурсные предложения'!AB19)*AC12</f>
        <v>65.05817854412737</v>
      </c>
      <c r="AD90" s="271">
        <f>IF('основные условия'!$J$8=1,'конкурсные предложения'!AC16,'конкурсные предложения'!AC19)*AD12</f>
        <v>69.61225104221629</v>
      </c>
      <c r="AE90" s="271">
        <f>IF('основные условия'!$J$8=1,'конкурсные предложения'!AD16,'конкурсные предложения'!AD19)*AE12</f>
        <v>74.48510861517143</v>
      </c>
      <c r="AF90" s="271">
        <f>IF('основные условия'!$J$8=1,'конкурсные предложения'!AE16,'конкурсные предложения'!AE19)*AF12</f>
        <v>79.69906621823343</v>
      </c>
    </row>
    <row r="91" spans="1:32" s="273" customFormat="1" ht="62.25" customHeight="1">
      <c r="A91" s="287" t="s">
        <v>188</v>
      </c>
      <c r="B91" s="271"/>
      <c r="C91" s="271">
        <f>'конкурсные предложения'!B17*C8</f>
        <v>77</v>
      </c>
      <c r="D91" s="271">
        <f>'конкурсные предложения'!C17*D8</f>
        <v>85.47000000000003</v>
      </c>
      <c r="E91" s="271">
        <f>'конкурсные предложения'!D17*E8</f>
        <v>89.74350000000003</v>
      </c>
      <c r="F91" s="271">
        <f>'конкурсные предложения'!E17*F8</f>
        <v>96.02554500000004</v>
      </c>
      <c r="G91" s="271">
        <f>'конкурсные предложения'!F17*G8</f>
        <v>102.74733315000005</v>
      </c>
      <c r="H91" s="271">
        <f>'конкурсные предложения'!G17*H8</f>
        <v>109.93964647050005</v>
      </c>
      <c r="I91" s="271">
        <f>'конкурсные предложения'!H17*I8</f>
        <v>117.63542172343507</v>
      </c>
      <c r="J91" s="271">
        <f>'конкурсные предложения'!I17*J8</f>
        <v>125.86990124407554</v>
      </c>
      <c r="K91" s="271">
        <f>'конкурсные предложения'!J17*K8</f>
        <v>134.68079433116083</v>
      </c>
      <c r="L91" s="271">
        <f>'конкурсные предложения'!K17*L8</f>
        <v>144.10844993434208</v>
      </c>
      <c r="M91" s="271">
        <f>'конкурсные предложения'!L17*M8</f>
        <v>154.19604142974606</v>
      </c>
      <c r="N91" s="271">
        <f>'конкурсные предложения'!M17*N8</f>
        <v>164.98976432982826</v>
      </c>
      <c r="O91" s="271">
        <f>'конкурсные предложения'!N17*O8</f>
        <v>176.53904783291628</v>
      </c>
      <c r="P91" s="271">
        <f>'конкурсные предложения'!O17*P8</f>
        <v>188.8967811812204</v>
      </c>
      <c r="Q91" s="271">
        <f>'конкурсные предложения'!P17*Q8</f>
        <v>202.11955586390587</v>
      </c>
      <c r="R91" s="271">
        <f>'конкурсные предложения'!Q17*R8</f>
        <v>216.2679247743793</v>
      </c>
      <c r="S91" s="271">
        <f>'конкурсные предложения'!R17*S8</f>
        <v>231.40667950858585</v>
      </c>
      <c r="T91" s="271">
        <f>'конкурсные предложения'!S17*T8</f>
        <v>247.6051470741869</v>
      </c>
      <c r="U91" s="271">
        <f>'конкурсные предложения'!T17*U8</f>
        <v>264.93750736938</v>
      </c>
      <c r="V91" s="271">
        <f>'конкурсные предложения'!U17*V8</f>
        <v>283.4831328852366</v>
      </c>
      <c r="W91" s="271">
        <f>'конкурсные предложения'!V17*W8</f>
        <v>303.3269521872032</v>
      </c>
      <c r="X91" s="271">
        <f>'конкурсные предложения'!W17*X8</f>
        <v>324.55983884030735</v>
      </c>
      <c r="Y91" s="271">
        <f>'конкурсные предложения'!X17*Y8</f>
        <v>347.27902755912885</v>
      </c>
      <c r="Z91" s="271">
        <f>'конкурсные предложения'!Y17*Z8</f>
        <v>371.58855948826795</v>
      </c>
      <c r="AA91" s="271">
        <f>'конкурсные предложения'!Z17*AA8</f>
        <v>397.5997586524467</v>
      </c>
      <c r="AB91" s="271">
        <f>'конкурсные предложения'!AA17*AB8</f>
        <v>425.431741758118</v>
      </c>
      <c r="AC91" s="271">
        <f>'конкурсные предложения'!AB17*AC8</f>
        <v>455.2119636811863</v>
      </c>
      <c r="AD91" s="271">
        <f>'конкурсные предложения'!AC17*AD8</f>
        <v>487.07680113886937</v>
      </c>
      <c r="AE91" s="271">
        <f>'конкурсные предложения'!AD17*AE8</f>
        <v>521.1721772185903</v>
      </c>
      <c r="AF91" s="271">
        <f>'конкурсные предложения'!AE17*AF8</f>
        <v>557.6542296238916</v>
      </c>
    </row>
    <row r="92" spans="1:32" s="238" customFormat="1" ht="15" customHeight="1">
      <c r="A92" s="287" t="s">
        <v>189</v>
      </c>
      <c r="B92" s="276"/>
      <c r="C92" s="288">
        <f>'конкурсные предложения'!B18*(C8*C12)^(1/2)</f>
        <v>11</v>
      </c>
      <c r="D92" s="288">
        <f>'конкурсные предложения'!C18*(D8*D12)^(1/2)</f>
        <v>12.154875564973919</v>
      </c>
      <c r="E92" s="288">
        <f>'конкурсные предложения'!D18*(E8*E12)^(1/2)</f>
        <v>12.823249705125455</v>
      </c>
      <c r="F92" s="288">
        <f>'конкурсные предложения'!E18*(F8*F12)^(1/2)</f>
        <v>13.720877184484237</v>
      </c>
      <c r="G92" s="288">
        <f>'конкурсные предложения'!F18*(G8*G12)^(1/2)</f>
        <v>14.681338587398136</v>
      </c>
      <c r="H92" s="288">
        <f>'конкурсные предложения'!G18*(H8*H12)^(1/2)</f>
        <v>15.709032288516005</v>
      </c>
      <c r="I92" s="288">
        <f>'конкурсные предложения'!H18*(I8*I12)^(1/2)</f>
        <v>16.80866454871213</v>
      </c>
      <c r="J92" s="288">
        <f>'конкурсные предложения'!I18*(J8*J12)^(1/2)</f>
        <v>17.985271067121978</v>
      </c>
      <c r="K92" s="288">
        <f>'конкурсные предложения'!J18*(K8*K12)^(1/2)</f>
        <v>19.244240041820518</v>
      </c>
      <c r="L92" s="288">
        <f>'конкурсные предложения'!K18*(L8*L12)^(1/2)</f>
        <v>20.591336844747957</v>
      </c>
      <c r="M92" s="288">
        <f>'конкурсные предложения'!L18*(M8*M12)^(1/2)</f>
        <v>22.03273042388031</v>
      </c>
      <c r="N92" s="288">
        <f>'конкурсные предложения'!M18*(N8*N12)^(1/2)</f>
        <v>23.575021553551938</v>
      </c>
      <c r="O92" s="288">
        <f>'конкурсные предложения'!N18*(O8*O12)^(1/2)</f>
        <v>25.22527306230057</v>
      </c>
      <c r="P92" s="288">
        <f>'конкурсные предложения'!O18*(P8*P12)^(1/2)</f>
        <v>26.99104217666161</v>
      </c>
      <c r="Q92" s="288">
        <f>'конкурсные предложения'!P18*(Q8*Q12)^(1/2)</f>
        <v>28.88041512902793</v>
      </c>
      <c r="R92" s="288">
        <f>'конкурсные предложения'!Q18*(R8*R12)^(1/2)</f>
        <v>30.902044188059886</v>
      </c>
      <c r="S92" s="288">
        <f>'конкурсные предложения'!R18*(S8*S12)^(1/2)</f>
        <v>33.06518728122408</v>
      </c>
      <c r="T92" s="288">
        <f>'конкурсные предложения'!S18*(T8*T12)^(1/2)</f>
        <v>35.37975039090976</v>
      </c>
      <c r="U92" s="288">
        <f>'конкурсные предложения'!T18*(U8*U12)^(1/2)</f>
        <v>37.85633291827345</v>
      </c>
      <c r="V92" s="288">
        <f>'конкурсные предложения'!U18*(V8*V12)^(1/2)</f>
        <v>40.50627622255259</v>
      </c>
      <c r="W92" s="288">
        <f>'конкурсные предложения'!V18*(W8*W12)^(1/2)</f>
        <v>43.34171555813128</v>
      </c>
      <c r="X92" s="288">
        <f>'конкурсные предложения'!W18*(X8*X12)^(1/2)</f>
        <v>46.37563564720047</v>
      </c>
      <c r="Y92" s="288">
        <f>'конкурсные предложения'!X18*(Y8*Y12)^(1/2)</f>
        <v>49.621930142504496</v>
      </c>
      <c r="Z92" s="288">
        <f>'конкурсные предложения'!Y18*(Z8*Z12)^(1/2)</f>
        <v>53.09546525247982</v>
      </c>
      <c r="AA92" s="288">
        <f>'конкурсные предложения'!Z18*(AA8*AA12)^(1/2)</f>
        <v>56.81214782015341</v>
      </c>
      <c r="AB92" s="288">
        <f>'конкурсные предложения'!AA18*(AB8*AB12)^(1/2)</f>
        <v>60.78899816756416</v>
      </c>
      <c r="AC92" s="288">
        <f>'конкурсные предложения'!AB18*(AC8*AC12)^(1/2)</f>
        <v>65.04422803929364</v>
      </c>
      <c r="AD92" s="288">
        <f>'конкурсные предложения'!AC18*(AD8*AD12)^(1/2)</f>
        <v>69.59732400204422</v>
      </c>
      <c r="AE92" s="288">
        <f>'конкурсные предложения'!AD18*(AE8*AE12)^(1/2)</f>
        <v>74.4691366821873</v>
      </c>
      <c r="AF92" s="288">
        <f>'конкурсные предложения'!AE18*(AF8*AF12)^(1/2)</f>
        <v>79.68197624994042</v>
      </c>
    </row>
    <row r="93" spans="1:32" s="106" customFormat="1" ht="15" customHeight="1">
      <c r="A93" s="255" t="s">
        <v>42</v>
      </c>
      <c r="B93" s="227"/>
      <c r="C93" s="227">
        <f>C88/((1+'конкурсная документация'!$B$8)^(C$5-1))</f>
        <v>978.9212732558141</v>
      </c>
      <c r="D93" s="227">
        <f>D88/((1+'конкурсная документация'!$B$8)^(D$5-1))</f>
        <v>944.0507168548236</v>
      </c>
      <c r="E93" s="227">
        <f>E88/((1+'конкурсная документация'!$B$8)^(E$5-1))</f>
        <v>898.5898554187655</v>
      </c>
      <c r="F93" s="227">
        <f>F88/((1+'конкурсная документация'!$B$8)^(F$5-1))</f>
        <v>855.3834037835435</v>
      </c>
      <c r="G93" s="227">
        <f>G88/((1+'конкурсная документация'!$B$8)^(G$5-1))</f>
        <v>816.2964631885487</v>
      </c>
      <c r="H93" s="227">
        <f>H88/((1+'конкурсная документация'!$B$8)^(H$5-1))</f>
        <v>779.1822942918396</v>
      </c>
      <c r="I93" s="227">
        <f>I88/((1+'конкурсная документация'!$B$8)^(I$5-1))</f>
        <v>743.9433811853507</v>
      </c>
      <c r="J93" s="227">
        <f>J88/((1+'конкурсная документация'!$B$8)^(J$5-1))</f>
        <v>710.4853803231343</v>
      </c>
      <c r="K93" s="227">
        <f>K88/((1+'конкурсная документация'!$B$8)^(K$5-1))</f>
        <v>679.1879225655327</v>
      </c>
      <c r="L93" s="227">
        <f>L88/((1+'конкурсная документация'!$B$8)^(L$5-1))</f>
        <v>649.0020834071256</v>
      </c>
      <c r="M93" s="227">
        <f>M88/((1+'конкурсная документация'!$B$8)^(M$5-1))</f>
        <v>621.322138783812</v>
      </c>
      <c r="N93" s="227">
        <f>N88/((1+'конкурсная документация'!$B$8)^(N$5-1))</f>
        <v>596.8077797091288</v>
      </c>
      <c r="O93" s="227">
        <f>O88/((1+'конкурсная документация'!$B$8)^(O$5-1))</f>
        <v>582.5369747820207</v>
      </c>
      <c r="P93" s="227">
        <f>P88/((1+'конкурсная документация'!$B$8)^(P$5-1))</f>
        <v>577.6356200546024</v>
      </c>
      <c r="Q93" s="227">
        <f>Q88/((1+'конкурсная документация'!$B$8)^(Q$5-1))</f>
        <v>579.5947024965743</v>
      </c>
      <c r="R93" s="227">
        <f>R88/((1+'конкурсная документация'!$B$8)^(R$5-1))</f>
        <v>587.4983319151441</v>
      </c>
      <c r="S93" s="227">
        <f>S88/((1+'конкурсная документация'!$B$8)^(S$5-1))</f>
        <v>600.1902015436922</v>
      </c>
      <c r="T93" s="227">
        <f>T88/((1+'конкурсная документация'!$B$8)^(T$5-1))</f>
        <v>616.668162985063</v>
      </c>
      <c r="U93" s="227">
        <f>U88/((1+'конкурсная документация'!$B$8)^(U$5-1))</f>
        <v>629.5662953060307</v>
      </c>
      <c r="V93" s="227">
        <f>V88/((1+'конкурсная документация'!$B$8)^(V$5-1))</f>
        <v>651.4182841122087</v>
      </c>
      <c r="W93" s="227">
        <f>W88/((1+'конкурсная документация'!$B$8)^(W$5-1))</f>
        <v>674.7917770476688</v>
      </c>
      <c r="X93" s="227">
        <f>X88/((1+'конкурсная документация'!$B$8)^(X$5-1))</f>
        <v>696.2411217796459</v>
      </c>
      <c r="Y93" s="227">
        <f>Y88/((1+'конкурсная документация'!$B$8)^(Y$5-1))</f>
        <v>715.8334777777388</v>
      </c>
      <c r="Z93" s="227">
        <f>Z88/((1+'конкурсная документация'!$B$8)^(Z$5-1))</f>
        <v>733.6370807203263</v>
      </c>
      <c r="AA93" s="227">
        <f>AA88/((1+'конкурсная документация'!$B$8)^(AA$5-1))</f>
        <v>749.7207653770025</v>
      </c>
      <c r="AB93" s="227">
        <f>AB88/((1+'конкурсная документация'!$B$8)^(AB$5-1))</f>
        <v>764.1535510925248</v>
      </c>
      <c r="AC93" s="227">
        <f>AC88/((1+'конкурсная документация'!$B$8)^(AC$5-1))</f>
        <v>777.0042831362799</v>
      </c>
      <c r="AD93" s="227">
        <f>AD88/((1+'конкурсная документация'!$B$8)^(AD$5-1))</f>
        <v>788.3413238597494</v>
      </c>
      <c r="AE93" s="227">
        <f>AE88/((1+'конкурсная документация'!$B$8)^(AE$5-1))</f>
        <v>798.232288216257</v>
      </c>
      <c r="AF93" s="227">
        <f>AF88/((1+'конкурсная документация'!$B$8)^(AF$5-1))</f>
        <v>806.7438187489527</v>
      </c>
    </row>
  </sheetData>
  <sheetProtection formatCells="0" formatColumns="0" formatRows="0" sort="0" autoFilter="0"/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90" r:id="rId1"/>
  <colBreaks count="1" manualBreakCount="1">
    <brk id="10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Normal="75" zoomScaleSheetLayoutView="100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03" sqref="G103"/>
    </sheetView>
  </sheetViews>
  <sheetFormatPr defaultColWidth="9.140625" defaultRowHeight="15"/>
  <cols>
    <col min="1" max="1" width="40.421875" style="3" customWidth="1"/>
    <col min="2" max="2" width="12.00390625" style="19" customWidth="1"/>
    <col min="3" max="3" width="12.28125" style="19" customWidth="1"/>
    <col min="4" max="13" width="10.8515625" style="19" customWidth="1"/>
    <col min="14" max="14" width="11.57421875" style="19" customWidth="1"/>
    <col min="15" max="21" width="10.8515625" style="19" customWidth="1"/>
    <col min="22" max="22" width="10.28125" style="19" customWidth="1"/>
    <col min="23" max="23" width="9.28125" style="16" customWidth="1"/>
    <col min="24" max="25" width="10.28125" style="1" bestFit="1" customWidth="1"/>
    <col min="26" max="26" width="10.28125" style="68" bestFit="1" customWidth="1"/>
    <col min="27" max="30" width="9.57421875" style="1" bestFit="1" customWidth="1"/>
    <col min="31" max="31" width="10.28125" style="68" customWidth="1"/>
    <col min="32" max="32" width="10.421875" style="1" customWidth="1"/>
    <col min="33" max="16384" width="9.140625" style="1" customWidth="1"/>
  </cols>
  <sheetData>
    <row r="1" spans="1:22" ht="15" hidden="1">
      <c r="A1" s="2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hidden="1">
      <c r="A2" s="3" t="s">
        <v>24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5" hidden="1">
      <c r="A3" s="4" t="s">
        <v>25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32" ht="15">
      <c r="A4" s="4"/>
      <c r="B4" s="16"/>
      <c r="C4" s="104" t="s">
        <v>27</v>
      </c>
      <c r="D4" s="105"/>
      <c r="E4" s="105"/>
      <c r="F4" s="104" t="s">
        <v>28</v>
      </c>
      <c r="G4" s="105"/>
      <c r="H4" s="105"/>
      <c r="I4" s="105"/>
      <c r="J4" s="105"/>
      <c r="K4" s="104" t="s">
        <v>29</v>
      </c>
      <c r="L4" s="105"/>
      <c r="M4" s="105"/>
      <c r="N4" s="105"/>
      <c r="O4" s="105"/>
      <c r="P4" s="104" t="s">
        <v>30</v>
      </c>
      <c r="Q4" s="105"/>
      <c r="R4" s="105"/>
      <c r="S4" s="105"/>
      <c r="T4" s="105"/>
      <c r="U4" s="104" t="s">
        <v>31</v>
      </c>
      <c r="V4" s="105"/>
      <c r="W4" s="105"/>
      <c r="X4" s="106"/>
      <c r="Y4" s="106"/>
      <c r="Z4" s="104" t="s">
        <v>76</v>
      </c>
      <c r="AA4" s="106"/>
      <c r="AB4" s="106"/>
      <c r="AC4" s="106"/>
      <c r="AD4" s="106"/>
      <c r="AE4" s="104" t="s">
        <v>88</v>
      </c>
      <c r="AF4" s="106"/>
    </row>
    <row r="5" spans="1:33" ht="18.75" customHeight="1">
      <c r="A5" s="69" t="s">
        <v>89</v>
      </c>
      <c r="B5" s="20">
        <v>0</v>
      </c>
      <c r="C5" s="118">
        <v>1</v>
      </c>
      <c r="D5" s="118">
        <v>2</v>
      </c>
      <c r="E5" s="118">
        <v>3</v>
      </c>
      <c r="F5" s="119">
        <v>4</v>
      </c>
      <c r="G5" s="120">
        <v>5</v>
      </c>
      <c r="H5" s="120">
        <v>6</v>
      </c>
      <c r="I5" s="120">
        <v>7</v>
      </c>
      <c r="J5" s="120">
        <v>8</v>
      </c>
      <c r="K5" s="121">
        <v>9</v>
      </c>
      <c r="L5" s="118">
        <v>10</v>
      </c>
      <c r="M5" s="118">
        <v>11</v>
      </c>
      <c r="N5" s="118">
        <v>12</v>
      </c>
      <c r="O5" s="118">
        <v>13</v>
      </c>
      <c r="P5" s="119">
        <v>14</v>
      </c>
      <c r="Q5" s="120">
        <v>15</v>
      </c>
      <c r="R5" s="120">
        <v>16</v>
      </c>
      <c r="S5" s="120">
        <v>17</v>
      </c>
      <c r="T5" s="120">
        <v>18</v>
      </c>
      <c r="U5" s="121">
        <v>19</v>
      </c>
      <c r="V5" s="118">
        <v>20</v>
      </c>
      <c r="W5" s="118">
        <v>21</v>
      </c>
      <c r="X5" s="118">
        <v>22</v>
      </c>
      <c r="Y5" s="118">
        <v>23</v>
      </c>
      <c r="Z5" s="119">
        <v>24</v>
      </c>
      <c r="AA5" s="120">
        <v>25</v>
      </c>
      <c r="AB5" s="120">
        <v>26</v>
      </c>
      <c r="AC5" s="120">
        <v>27</v>
      </c>
      <c r="AD5" s="120">
        <v>28</v>
      </c>
      <c r="AE5" s="121">
        <v>29</v>
      </c>
      <c r="AF5" s="118">
        <v>30</v>
      </c>
      <c r="AG5" s="1">
        <v>31</v>
      </c>
    </row>
    <row r="6" spans="1:32" s="268" customFormat="1" ht="48.75" customHeight="1">
      <c r="A6" s="289" t="s">
        <v>163</v>
      </c>
      <c r="B6" s="266"/>
      <c r="C6" s="267"/>
      <c r="D6" s="267"/>
      <c r="E6" s="267"/>
      <c r="F6" s="266"/>
      <c r="G6" s="266"/>
      <c r="H6" s="266"/>
      <c r="I6" s="266"/>
      <c r="J6" s="266"/>
      <c r="K6" s="267"/>
      <c r="L6" s="267"/>
      <c r="M6" s="267"/>
      <c r="N6" s="267"/>
      <c r="O6" s="267"/>
      <c r="P6" s="266"/>
      <c r="Q6" s="266"/>
      <c r="R6" s="266"/>
      <c r="S6" s="266"/>
      <c r="T6" s="266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</row>
    <row r="7" spans="1:55" s="238" customFormat="1" ht="121.5" customHeight="1">
      <c r="A7" s="159" t="s">
        <v>54</v>
      </c>
      <c r="B7" s="263">
        <f>'[1]расчет индексация'!B7</f>
        <v>1</v>
      </c>
      <c r="C7" s="263">
        <f>'[1]расчет индексация'!C7</f>
        <v>1.07</v>
      </c>
      <c r="D7" s="263">
        <f>'[1]расчет индексация'!D7</f>
        <v>1.1449</v>
      </c>
      <c r="E7" s="263">
        <f>'[1]расчет индексация'!E7</f>
        <v>1.225043</v>
      </c>
      <c r="F7" s="263">
        <f>'[1]расчет индексация'!F7</f>
        <v>1.3107960100000002</v>
      </c>
      <c r="G7" s="263">
        <f>'[1]расчет индексация'!G7</f>
        <v>1.4025517307000004</v>
      </c>
      <c r="H7" s="263">
        <f>'[1]расчет индексация'!H7</f>
        <v>1.5007303518490005</v>
      </c>
      <c r="I7" s="263">
        <f>'[1]расчет индексация'!I7</f>
        <v>1.6057814764784306</v>
      </c>
      <c r="J7" s="263">
        <f>'[1]расчет индексация'!J7</f>
        <v>1.718186179831921</v>
      </c>
      <c r="K7" s="263">
        <f>'[1]расчет индексация'!K7</f>
        <v>1.8384592124201555</v>
      </c>
      <c r="L7" s="263">
        <f>'[1]расчет индексация'!L7</f>
        <v>1.9671513572895665</v>
      </c>
      <c r="M7" s="263">
        <f>'[1]расчет индексация'!M7</f>
        <v>2.1048519522998363</v>
      </c>
      <c r="N7" s="263">
        <f>'[1]расчет индексация'!N7</f>
        <v>2.252191588960825</v>
      </c>
      <c r="O7" s="263">
        <f>'[1]расчет индексация'!O7</f>
        <v>2.4098450001880827</v>
      </c>
      <c r="P7" s="263">
        <f>'[1]расчет индексация'!P7</f>
        <v>2.5785341502012487</v>
      </c>
      <c r="Q7" s="263">
        <f>'[1]расчет индексация'!Q7</f>
        <v>2.7590315407153363</v>
      </c>
      <c r="R7" s="263">
        <f>'[1]расчет индексация'!R7</f>
        <v>2.95216374856541</v>
      </c>
      <c r="S7" s="263">
        <f>'[1]расчет индексация'!S7</f>
        <v>3.158815210964989</v>
      </c>
      <c r="T7" s="263">
        <f>'[1]расчет индексация'!T7</f>
        <v>3.3799322757325387</v>
      </c>
      <c r="U7" s="263">
        <f>'[1]расчет индексация'!U7</f>
        <v>3.616527535033817</v>
      </c>
      <c r="V7" s="263">
        <f>'[1]расчет индексация'!V7</f>
        <v>3.8696844624861844</v>
      </c>
      <c r="W7" s="263">
        <f>'[1]расчет индексация'!W7</f>
        <v>4.140562374860218</v>
      </c>
      <c r="X7" s="263">
        <f>'[1]расчет индексация'!X7</f>
        <v>4.430401741100433</v>
      </c>
      <c r="Y7" s="263">
        <f>'[1]расчет индексация'!Y7</f>
        <v>4.740529862977464</v>
      </c>
      <c r="Z7" s="263">
        <f>'[1]расчет индексация'!Z7</f>
        <v>5.072366953385887</v>
      </c>
      <c r="AA7" s="263">
        <f>'[1]расчет индексация'!AA7</f>
        <v>5.4274326401229</v>
      </c>
      <c r="AB7" s="263">
        <f>'[1]расчет индексация'!AB7</f>
        <v>5.807352924931504</v>
      </c>
      <c r="AC7" s="263">
        <f>'[1]расчет индексация'!AC7</f>
        <v>6.2138676296767095</v>
      </c>
      <c r="AD7" s="263">
        <f>'[1]расчет индексация'!AD7</f>
        <v>6.64883836375408</v>
      </c>
      <c r="AE7" s="263">
        <f>'[1]расчет индексация'!AE7</f>
        <v>7.1142570492168655</v>
      </c>
      <c r="AF7" s="263">
        <f>'[1]расчет индексация'!AF7</f>
        <v>7.6122550426620466</v>
      </c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</row>
    <row r="8" spans="1:55" s="238" customFormat="1" ht="18" customHeight="1">
      <c r="A8" s="159" t="s">
        <v>143</v>
      </c>
      <c r="B8" s="263">
        <f>'[1]расчет индексация'!B8</f>
        <v>1</v>
      </c>
      <c r="C8" s="263">
        <f>'[1]расчет индексация'!C8</f>
        <v>1.1</v>
      </c>
      <c r="D8" s="263">
        <f>'[1]расчет индексация'!D8</f>
        <v>1.2210000000000003</v>
      </c>
      <c r="E8" s="263">
        <f>'[1]расчет индексация'!E8</f>
        <v>1.2820500000000004</v>
      </c>
      <c r="F8" s="263">
        <f>'[1]расчет индексация'!F8</f>
        <v>1.3717935000000006</v>
      </c>
      <c r="G8" s="263">
        <f>'[1]расчет индексация'!G8</f>
        <v>1.4678190450000006</v>
      </c>
      <c r="H8" s="263">
        <f>'[1]расчет индексация'!H8</f>
        <v>1.5705663781500008</v>
      </c>
      <c r="I8" s="263">
        <f>'[1]расчет индексация'!I8</f>
        <v>1.680506024620501</v>
      </c>
      <c r="J8" s="263">
        <f>'[1]расчет индексация'!J8</f>
        <v>1.7981414463439362</v>
      </c>
      <c r="K8" s="263">
        <f>'[1]расчет индексация'!K8</f>
        <v>1.9240113475880118</v>
      </c>
      <c r="L8" s="263">
        <f>'[1]расчет индексация'!L8</f>
        <v>2.0586921419191726</v>
      </c>
      <c r="M8" s="263">
        <f>'[1]расчет индексация'!M8</f>
        <v>2.202800591853515</v>
      </c>
      <c r="N8" s="263">
        <f>'[1]расчет индексация'!N8</f>
        <v>2.356996633283261</v>
      </c>
      <c r="O8" s="263">
        <f>'[1]расчет индексация'!O8</f>
        <v>2.5219863976130896</v>
      </c>
      <c r="P8" s="263">
        <f>'[1]расчет индексация'!P8</f>
        <v>2.698525445446006</v>
      </c>
      <c r="Q8" s="263">
        <f>'[1]расчет индексация'!Q8</f>
        <v>2.8874222266272267</v>
      </c>
      <c r="R8" s="263">
        <f>'[1]расчет индексация'!R8</f>
        <v>3.089541782491133</v>
      </c>
      <c r="S8" s="263">
        <f>'[1]расчет индексация'!S8</f>
        <v>3.3058097072655124</v>
      </c>
      <c r="T8" s="263">
        <f>'[1]расчет индексация'!T8</f>
        <v>3.5372163867740984</v>
      </c>
      <c r="U8" s="263">
        <f>'[1]расчет индексация'!U8</f>
        <v>3.7848215338482856</v>
      </c>
      <c r="V8" s="263">
        <f>'[1]расчет индексация'!V8</f>
        <v>4.049759041217666</v>
      </c>
      <c r="W8" s="263">
        <f>'[1]расчет индексация'!W8</f>
        <v>4.333242174102902</v>
      </c>
      <c r="X8" s="263">
        <f>'[1]расчет индексация'!X8</f>
        <v>4.636569126290105</v>
      </c>
      <c r="Y8" s="263">
        <f>'[1]расчет индексация'!Y8</f>
        <v>4.9611289651304125</v>
      </c>
      <c r="Z8" s="263">
        <f>'[1]расчет индексация'!Z8</f>
        <v>5.308407992689542</v>
      </c>
      <c r="AA8" s="263">
        <f>'[1]расчет индексация'!AA8</f>
        <v>5.67999655217781</v>
      </c>
      <c r="AB8" s="263">
        <f>'[1]расчет индексация'!AB8</f>
        <v>6.077596310830257</v>
      </c>
      <c r="AC8" s="263">
        <f>'[1]расчет индексация'!AC8</f>
        <v>6.503028052588376</v>
      </c>
      <c r="AD8" s="263">
        <f>'[1]расчет индексация'!AD8</f>
        <v>6.958240016269563</v>
      </c>
      <c r="AE8" s="263">
        <f>'[1]расчет индексация'!AE8</f>
        <v>7.4453168174084325</v>
      </c>
      <c r="AF8" s="263">
        <f>'[1]расчет индексация'!AF8</f>
        <v>7.966488994627023</v>
      </c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</row>
    <row r="9" spans="1:55" s="238" customFormat="1" ht="19.5" customHeight="1">
      <c r="A9" s="159" t="s">
        <v>51</v>
      </c>
      <c r="B9" s="263">
        <f>'[1]расчет индексация'!B9</f>
        <v>1</v>
      </c>
      <c r="C9" s="263">
        <f>'[1]расчет индексация'!C9</f>
        <v>1.1</v>
      </c>
      <c r="D9" s="263">
        <f>'[1]расчет индексация'!D9</f>
        <v>1.2100000000000002</v>
      </c>
      <c r="E9" s="263">
        <f>'[1]расчет индексация'!E9</f>
        <v>1.2947000000000002</v>
      </c>
      <c r="F9" s="263">
        <f>'[1]расчет индексация'!F9</f>
        <v>1.3723820000000002</v>
      </c>
      <c r="G9" s="263">
        <f>'[1]расчет индексация'!G9</f>
        <v>1.4547249200000003</v>
      </c>
      <c r="H9" s="263">
        <f>'[1]расчет индексация'!H9</f>
        <v>1.5420084152000004</v>
      </c>
      <c r="I9" s="263">
        <f>'[1]расчет индексация'!I9</f>
        <v>1.6345289201120006</v>
      </c>
      <c r="J9" s="263">
        <f>'[1]расчет индексация'!J9</f>
        <v>1.7326006553187208</v>
      </c>
      <c r="K9" s="263">
        <f>'[1]расчет индексация'!K9</f>
        <v>1.836556694637844</v>
      </c>
      <c r="L9" s="263">
        <f>'[1]расчет индексация'!L9</f>
        <v>1.9467500963161146</v>
      </c>
      <c r="M9" s="263">
        <f>'[1]расчет индексация'!M9</f>
        <v>2.0635551020950818</v>
      </c>
      <c r="N9" s="263">
        <f>'[1]расчет индексация'!N9</f>
        <v>2.1873684082207867</v>
      </c>
      <c r="O9" s="263">
        <f>'[1]расчет индексация'!O9</f>
        <v>2.318610512714034</v>
      </c>
      <c r="P9" s="263">
        <f>'[1]расчет индексация'!P9</f>
        <v>2.457727143476876</v>
      </c>
      <c r="Q9" s="263">
        <f>'[1]расчет индексация'!Q9</f>
        <v>2.6051907720854888</v>
      </c>
      <c r="R9" s="263">
        <f>'[1]расчет индексация'!R9</f>
        <v>2.761502218410618</v>
      </c>
      <c r="S9" s="263">
        <f>'[1]расчет индексация'!S9</f>
        <v>2.9271923515152554</v>
      </c>
      <c r="T9" s="263">
        <f>'[1]расчет индексация'!T9</f>
        <v>3.1028238926061706</v>
      </c>
      <c r="U9" s="263">
        <f>'[1]расчет индексация'!U9</f>
        <v>3.288993326162541</v>
      </c>
      <c r="V9" s="263">
        <f>'[1]расчет индексация'!V9</f>
        <v>3.4863329257322935</v>
      </c>
      <c r="W9" s="263">
        <f>'[1]расчет индексация'!W9</f>
        <v>3.6955129012762313</v>
      </c>
      <c r="X9" s="263">
        <f>'[1]расчет индексация'!X9</f>
        <v>3.9172436753528053</v>
      </c>
      <c r="Y9" s="263">
        <f>'[1]расчет индексация'!Y9</f>
        <v>4.152278295873974</v>
      </c>
      <c r="Z9" s="263">
        <f>'[1]расчет индексация'!Z9</f>
        <v>4.401414993626413</v>
      </c>
      <c r="AA9" s="263">
        <f>'[1]расчет индексация'!AA9</f>
        <v>4.665499893243998</v>
      </c>
      <c r="AB9" s="263">
        <f>'[1]расчет индексация'!AB9</f>
        <v>4.945429886838639</v>
      </c>
      <c r="AC9" s="263">
        <f>'[1]расчет индексация'!AC9</f>
        <v>5.242155680048957</v>
      </c>
      <c r="AD9" s="263">
        <f>'[1]расчет индексация'!AD9</f>
        <v>5.556685020851894</v>
      </c>
      <c r="AE9" s="263">
        <f>'[1]расчет индексация'!AE9</f>
        <v>5.890086122103008</v>
      </c>
      <c r="AF9" s="263">
        <f>'[1]расчет индексация'!AF9</f>
        <v>6.243491289429189</v>
      </c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</row>
    <row r="10" spans="1:55" s="238" customFormat="1" ht="19.5" customHeight="1">
      <c r="A10" s="159" t="s">
        <v>52</v>
      </c>
      <c r="B10" s="263">
        <f>'[1]расчет индексация'!B10</f>
        <v>1</v>
      </c>
      <c r="C10" s="263">
        <f>'[1]расчет индексация'!C10</f>
        <v>1.0972</v>
      </c>
      <c r="D10" s="263">
        <f>'[1]расчет индексация'!D10</f>
        <v>1.190462</v>
      </c>
      <c r="E10" s="263">
        <f>'[1]расчет индексация'!E10</f>
        <v>1.280937112</v>
      </c>
      <c r="F10" s="263">
        <f>'[1]расчет индексация'!F10</f>
        <v>1.35138865316</v>
      </c>
      <c r="G10" s="263">
        <f>'[1]расчет индексация'!G10</f>
        <v>1.4392289156154</v>
      </c>
      <c r="H10" s="263">
        <f>'[1]расчет индексация'!H10</f>
        <v>1.5327787951304008</v>
      </c>
      <c r="I10" s="263">
        <f>'[1]расчет индексация'!I10</f>
        <v>1.6324094168138767</v>
      </c>
      <c r="J10" s="263">
        <f>'[1]расчет индексация'!J10</f>
        <v>1.7385160289067787</v>
      </c>
      <c r="K10" s="263">
        <f>'[1]расчет индексация'!K10</f>
        <v>1.8515195707857193</v>
      </c>
      <c r="L10" s="263">
        <f>'[1]расчет индексация'!L10</f>
        <v>1.971868342886791</v>
      </c>
      <c r="M10" s="263">
        <f>'[1]расчет индексация'!M10</f>
        <v>2.1000397851744323</v>
      </c>
      <c r="N10" s="263">
        <f>'[1]расчет индексация'!N10</f>
        <v>2.23654237121077</v>
      </c>
      <c r="O10" s="263">
        <f>'[1]расчет индексация'!O10</f>
        <v>2.38191762533947</v>
      </c>
      <c r="P10" s="263">
        <f>'[1]расчет индексация'!P10</f>
        <v>2.5367422709865353</v>
      </c>
      <c r="Q10" s="263">
        <f>'[1]расчет индексация'!Q10</f>
        <v>2.70163051860066</v>
      </c>
      <c r="R10" s="263">
        <f>'[1]расчет индексация'!R10</f>
        <v>2.8772365023097026</v>
      </c>
      <c r="S10" s="263">
        <f>'[1]расчет индексация'!S10</f>
        <v>3.0642568749598333</v>
      </c>
      <c r="T10" s="263">
        <f>'[1]расчет индексация'!T10</f>
        <v>3.2634335718322225</v>
      </c>
      <c r="U10" s="263">
        <f>'[1]расчет индексация'!U10</f>
        <v>3.4755567540013166</v>
      </c>
      <c r="V10" s="263">
        <f>'[1]расчет индексация'!V10</f>
        <v>3.701467943011402</v>
      </c>
      <c r="W10" s="263">
        <f>'[1]расчет индексация'!W10</f>
        <v>3.942063359307143</v>
      </c>
      <c r="X10" s="263">
        <f>'[1]расчет индексация'!X10</f>
        <v>4.1982974776621065</v>
      </c>
      <c r="Y10" s="263">
        <f>'[1]расчет индексация'!Y10</f>
        <v>4.471186813710143</v>
      </c>
      <c r="Z10" s="263">
        <f>'[1]расчет индексация'!Z10</f>
        <v>4.761813956601302</v>
      </c>
      <c r="AA10" s="263">
        <f>'[1]расчет индексация'!AA10</f>
        <v>5.071331863780387</v>
      </c>
      <c r="AB10" s="263">
        <f>'[1]расчет индексация'!AB10</f>
        <v>5.400968434926112</v>
      </c>
      <c r="AC10" s="263">
        <f>'[1]расчет индексация'!AC10</f>
        <v>5.752031383196309</v>
      </c>
      <c r="AD10" s="263">
        <f>'[1]расчет индексация'!AD10</f>
        <v>6.125913423104069</v>
      </c>
      <c r="AE10" s="263">
        <f>'[1]расчет индексация'!AE10</f>
        <v>6.524097795605833</v>
      </c>
      <c r="AF10" s="263">
        <f>'[1]расчет индексация'!AF10</f>
        <v>6.948164152320212</v>
      </c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</row>
    <row r="11" spans="1:55" s="238" customFormat="1" ht="19.5" customHeight="1">
      <c r="A11" s="159" t="s">
        <v>53</v>
      </c>
      <c r="B11" s="263">
        <f>'[1]расчет индексация'!B11</f>
        <v>1</v>
      </c>
      <c r="C11" s="263">
        <f>'[1]расчет индексация'!C11</f>
        <v>1.01</v>
      </c>
      <c r="D11" s="263">
        <f>'[1]расчет индексация'!D11</f>
        <v>1.0908</v>
      </c>
      <c r="E11" s="263">
        <f>'[1]расчет индексация'!E11</f>
        <v>1.178064</v>
      </c>
      <c r="F11" s="263">
        <f>'[1]расчет индексация'!F11</f>
        <v>1.26052848</v>
      </c>
      <c r="G11" s="263">
        <f>'[1]расчет индексация'!G11</f>
        <v>1.3361601888</v>
      </c>
      <c r="H11" s="263">
        <f>'[1]расчет индексация'!H11</f>
        <v>1.4163298001280002</v>
      </c>
      <c r="I11" s="263">
        <f>'[1]расчет индексация'!I11</f>
        <v>1.5013095881356804</v>
      </c>
      <c r="J11" s="263">
        <f>'[1]расчет индексация'!J11</f>
        <v>1.5913881634238214</v>
      </c>
      <c r="K11" s="263">
        <f>'[1]расчет индексация'!K11</f>
        <v>1.6868714532292508</v>
      </c>
      <c r="L11" s="263">
        <f>'[1]расчет индексация'!L11</f>
        <v>1.7880837404230059</v>
      </c>
      <c r="M11" s="263">
        <f>'[1]расчет индексация'!M11</f>
        <v>1.8953687648483863</v>
      </c>
      <c r="N11" s="263">
        <f>'[1]расчет индексация'!N11</f>
        <v>2.0090908907392895</v>
      </c>
      <c r="O11" s="263">
        <f>'[1]расчет индексация'!O11</f>
        <v>2.129636344183647</v>
      </c>
      <c r="P11" s="263">
        <f>'[1]расчет индексация'!P11</f>
        <v>2.2574145248346658</v>
      </c>
      <c r="Q11" s="263">
        <f>'[1]расчет индексация'!Q11</f>
        <v>2.392859396324746</v>
      </c>
      <c r="R11" s="263">
        <f>'[1]расчет индексация'!R11</f>
        <v>2.536430960104231</v>
      </c>
      <c r="S11" s="263">
        <f>'[1]расчет индексация'!S11</f>
        <v>2.6886168177104848</v>
      </c>
      <c r="T11" s="263">
        <f>'[1]расчет индексация'!T11</f>
        <v>2.849933826773114</v>
      </c>
      <c r="U11" s="263">
        <f>'[1]расчет индексация'!U11</f>
        <v>3.020929856379501</v>
      </c>
      <c r="V11" s="263">
        <f>'[1]расчет индексация'!V11</f>
        <v>3.202185647762271</v>
      </c>
      <c r="W11" s="263">
        <f>'[1]расчет индексация'!W11</f>
        <v>3.3943167866280075</v>
      </c>
      <c r="X11" s="263">
        <f>'[1]расчет индексация'!X11</f>
        <v>3.597975793825688</v>
      </c>
      <c r="Y11" s="263">
        <f>'[1]расчет индексация'!Y11</f>
        <v>3.8138543414552295</v>
      </c>
      <c r="Z11" s="263">
        <f>'[1]расчет индексация'!Z11</f>
        <v>4.0426856019425434</v>
      </c>
      <c r="AA11" s="263">
        <f>'[1]расчет индексация'!AA11</f>
        <v>4.285246738059096</v>
      </c>
      <c r="AB11" s="263">
        <f>'[1]расчет индексация'!AB11</f>
        <v>4.5423615423426424</v>
      </c>
      <c r="AC11" s="263">
        <f>'[1]расчет индексация'!AC11</f>
        <v>4.814903234883201</v>
      </c>
      <c r="AD11" s="263">
        <f>'[1]расчет индексация'!AD11</f>
        <v>5.103797428976193</v>
      </c>
      <c r="AE11" s="263">
        <f>'[1]расчет индексация'!AE11</f>
        <v>5.410025274714766</v>
      </c>
      <c r="AF11" s="263">
        <f>'[1]расчет индексация'!AF11</f>
        <v>5.734626791197652</v>
      </c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</row>
    <row r="12" spans="1:32" s="238" customFormat="1" ht="15">
      <c r="A12" s="265" t="s">
        <v>162</v>
      </c>
      <c r="B12" s="263">
        <f>'[1]расчет индексация'!B12</f>
        <v>1</v>
      </c>
      <c r="C12" s="263">
        <f>'[1]расчет индексация'!C12</f>
        <v>1.1</v>
      </c>
      <c r="D12" s="263">
        <f>'[1]расчет индексация'!D12</f>
        <v>1.2100000000000002</v>
      </c>
      <c r="E12" s="263">
        <f>'[1]расчет индексация'!E12</f>
        <v>1.2826000000000002</v>
      </c>
      <c r="F12" s="263">
        <f>'[1]расчет индексация'!F12</f>
        <v>1.3723820000000002</v>
      </c>
      <c r="G12" s="263">
        <f>'[1]расчет индексация'!G12</f>
        <v>1.4684487400000004</v>
      </c>
      <c r="H12" s="263">
        <f>'[1]расчет индексация'!H12</f>
        <v>1.5712401518000005</v>
      </c>
      <c r="I12" s="263">
        <f>'[1]расчет индексация'!I12</f>
        <v>1.6812269624260008</v>
      </c>
      <c r="J12" s="263">
        <f>'[1]расчет индексация'!J12</f>
        <v>1.798912849795821</v>
      </c>
      <c r="K12" s="263">
        <f>'[1]расчет индексация'!K12</f>
        <v>1.9248367492815284</v>
      </c>
      <c r="L12" s="263">
        <f>'[1]расчет индексация'!L12</f>
        <v>2.0595753217312356</v>
      </c>
      <c r="M12" s="263">
        <f>'[1]расчет индексация'!M12</f>
        <v>2.203745594252422</v>
      </c>
      <c r="N12" s="263">
        <f>'[1]расчет индексация'!N12</f>
        <v>2.358007785850092</v>
      </c>
      <c r="O12" s="263">
        <f>'[1]расчет индексация'!O12</f>
        <v>2.5230683308595983</v>
      </c>
      <c r="P12" s="263">
        <f>'[1]расчет индексация'!P12</f>
        <v>2.6996831140197703</v>
      </c>
      <c r="Q12" s="263">
        <f>'[1]расчет индексация'!Q12</f>
        <v>2.8886609320011543</v>
      </c>
      <c r="R12" s="263">
        <f>'[1]расчет индексация'!R12</f>
        <v>3.090867197241235</v>
      </c>
      <c r="S12" s="263">
        <f>'[1]расчет индексация'!S12</f>
        <v>3.3072279010481216</v>
      </c>
      <c r="T12" s="263">
        <f>'[1]расчет индексация'!T12</f>
        <v>3.53873385412149</v>
      </c>
      <c r="U12" s="263">
        <f>'[1]расчет индексация'!U12</f>
        <v>3.7864452239099946</v>
      </c>
      <c r="V12" s="263">
        <f>'[1]расчет индексация'!V12</f>
        <v>4.051496389583694</v>
      </c>
      <c r="W12" s="263">
        <f>'[1]расчет индексация'!W12</f>
        <v>4.335101136854553</v>
      </c>
      <c r="X12" s="263">
        <f>'[1]расчет индексация'!X12</f>
        <v>4.638558216434372</v>
      </c>
      <c r="Y12" s="263">
        <f>'[1]расчет индексация'!Y12</f>
        <v>4.963257291584779</v>
      </c>
      <c r="Z12" s="263">
        <f>'[1]расчет индексация'!Z12</f>
        <v>5.310685301995714</v>
      </c>
      <c r="AA12" s="263">
        <f>'[1]расчет индексация'!AA12</f>
        <v>5.682433273135414</v>
      </c>
      <c r="AB12" s="263">
        <f>'[1]расчет индексация'!AB12</f>
        <v>6.080203602254894</v>
      </c>
      <c r="AC12" s="263">
        <f>'[1]расчет индексация'!AC12</f>
        <v>6.5058178544127365</v>
      </c>
      <c r="AD12" s="263">
        <f>'[1]расчет индексация'!AD12</f>
        <v>6.961225104221628</v>
      </c>
      <c r="AE12" s="263">
        <f>'[1]расчет индексация'!AE12</f>
        <v>7.448510861517143</v>
      </c>
      <c r="AF12" s="263">
        <f>'[1]расчет индексация'!AF12</f>
        <v>7.969906621823343</v>
      </c>
    </row>
    <row r="13" spans="1:32" s="75" customFormat="1" ht="21" customHeight="1">
      <c r="A13" s="70" t="s">
        <v>128</v>
      </c>
      <c r="B13" s="71"/>
      <c r="C13" s="72"/>
      <c r="D13" s="72"/>
      <c r="E13" s="72"/>
      <c r="F13" s="71"/>
      <c r="G13" s="71"/>
      <c r="H13" s="71"/>
      <c r="I13" s="71"/>
      <c r="J13" s="71"/>
      <c r="K13" s="72"/>
      <c r="L13" s="72"/>
      <c r="M13" s="72"/>
      <c r="N13" s="72"/>
      <c r="O13" s="72"/>
      <c r="P13" s="71"/>
      <c r="Q13" s="71"/>
      <c r="R13" s="71"/>
      <c r="S13" s="71"/>
      <c r="T13" s="71"/>
      <c r="U13" s="72"/>
      <c r="V13" s="72"/>
      <c r="W13" s="73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14" customFormat="1" ht="15">
      <c r="A14" s="12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2" s="3" customFormat="1" ht="19.5" customHeight="1">
      <c r="A15" s="5" t="s">
        <v>23</v>
      </c>
      <c r="B15" s="45"/>
      <c r="C15" s="85">
        <f>'конкурсная документация'!$B$7</f>
        <v>20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s="293" customFormat="1" ht="34.5" customHeight="1">
      <c r="A16" s="290" t="s">
        <v>13</v>
      </c>
      <c r="B16" s="291"/>
      <c r="C16" s="292">
        <f>MAX('конкурсные предложения'!B15-'конкурсная документация'!C40,0)*C8</f>
        <v>209.00000000000003</v>
      </c>
      <c r="D16" s="292">
        <f>MAX('конкурсные предложения'!C15-'конкурсная документация'!D40,0)*D8</f>
        <v>231.99000000000007</v>
      </c>
      <c r="E16" s="292">
        <f>MAX('конкурсные предложения'!D15-'конкурсная документация'!E40,0)*E8</f>
        <v>243.58950000000007</v>
      </c>
      <c r="F16" s="292">
        <f>MAX('конкурсные предложения'!E15-'конкурсная документация'!F40,0)*F8</f>
        <v>260.6407650000001</v>
      </c>
      <c r="G16" s="292">
        <f>MAX('конкурсные предложения'!F15-'конкурсная документация'!G40,0)*G8</f>
        <v>278.8856185500001</v>
      </c>
      <c r="H16" s="292">
        <f>MAX('конкурсные предложения'!G15-'конкурсная документация'!H40,0)*H8</f>
        <v>298.40761184850015</v>
      </c>
      <c r="I16" s="292">
        <f>MAX('конкурсные предложения'!H15-'конкурсная документация'!I40,0)*I8</f>
        <v>319.2961446778952</v>
      </c>
      <c r="J16" s="292">
        <f>MAX('конкурсные предложения'!I15-'конкурсная документация'!J40,0)*J8</f>
        <v>341.64687480534786</v>
      </c>
      <c r="K16" s="292">
        <f>MAX('конкурсные предложения'!J15-'конкурсная документация'!K40,0)*K8</f>
        <v>365.56215604172223</v>
      </c>
      <c r="L16" s="292">
        <f>MAX('конкурсные предложения'!K15-'конкурсная документация'!L40,0)*L8</f>
        <v>391.1515069646428</v>
      </c>
      <c r="M16" s="292">
        <f>MAX('конкурсные предложения'!L15-'конкурсная документация'!M40,0)*M8</f>
        <v>638.8121716375193</v>
      </c>
      <c r="N16" s="292">
        <f>MAX('конкурсные предложения'!M15-'конкурсная документация'!N40,0)*N8</f>
        <v>919.2286869804718</v>
      </c>
      <c r="O16" s="292">
        <f>MAX('конкурсные предложения'!N15-'конкурсная документация'!O40,0)*O8</f>
        <v>1235.773334830414</v>
      </c>
      <c r="P16" s="292">
        <f>MAX('конкурсные предложения'!O15-'конкурсная документация'!P40,0)*P8</f>
        <v>1592.1300128131436</v>
      </c>
      <c r="Q16" s="292">
        <f>MAX('конкурсные предложения'!P15-'конкурсная документация'!Q40,0)*Q8</f>
        <v>1992.3213363727864</v>
      </c>
      <c r="R16" s="292">
        <f>MAX('конкурсные предложения'!Q15-'конкурсная документация'!R40,0)*R8</f>
        <v>2440.738008167995</v>
      </c>
      <c r="S16" s="292">
        <f>MAX('конкурсные предложения'!R15-'конкурсная документация'!S40,0)*S8</f>
        <v>2942.170639466306</v>
      </c>
      <c r="T16" s="292">
        <f>MAX('конкурсные предложения'!S15-'конкурсная документация'!T40,0)*T8</f>
        <v>3501.8442229063576</v>
      </c>
      <c r="U16" s="292">
        <f>MAX('конкурсные предложения'!T15-'конкурсная документация'!U40,0)*U8</f>
        <v>4125.455471894631</v>
      </c>
      <c r="V16" s="292">
        <f>MAX('конкурсные предложения'!U15-'конкурсная документация'!V40,0)*V8</f>
        <v>4819.213259049022</v>
      </c>
      <c r="W16" s="292">
        <f>MAX('конкурсные предложения'!V15-'конкурсная документация'!W40,0)*W8</f>
        <v>5589.882404592744</v>
      </c>
      <c r="X16" s="292">
        <f>MAX('конкурсные предложения'!W15-'конкурсная документация'!X40,0)*X8</f>
        <v>6444.831085543246</v>
      </c>
      <c r="Y16" s="292">
        <f>MAX('конкурсные предложения'!X15-'конкурсная документация'!Y40,0)*Y8</f>
        <v>7392.082158044314</v>
      </c>
      <c r="Z16" s="292">
        <f>MAX('конкурсные предложения'!Y15-'конкурсная документация'!Z40,0)*Z8</f>
        <v>8440.368708376373</v>
      </c>
      <c r="AA16" s="292">
        <f>MAX('конкурсные предложения'!Z15-'конкурсная документация'!AA40,0)*AA8</f>
        <v>9599.1941731805</v>
      </c>
      <c r="AB16" s="292">
        <f>MAX('конкурсные предложения'!AA15-'конкурсная документация'!AB40,0)*AB8</f>
        <v>10878.89739638616</v>
      </c>
      <c r="AC16" s="292">
        <f>MAX('конкурсные предложения'!AB15-'конкурсная документация'!AC40,0)*AC8</f>
        <v>12290.723019392031</v>
      </c>
      <c r="AD16" s="292">
        <f>MAX('конкурсные предложения'!AC15-'конкурсная документация'!AD40,0)*AD8</f>
        <v>13846.89763237643</v>
      </c>
      <c r="AE16" s="292">
        <f>MAX('конкурсные предложения'!AD15-'конкурсная документация'!AE40,0)*AE8</f>
        <v>15560.712148383624</v>
      </c>
      <c r="AF16" s="292">
        <f>MAX('конкурсные предложения'!AE15-'конкурсная документация'!AF40,0)*AF8</f>
        <v>17446.610898233183</v>
      </c>
    </row>
    <row r="17" spans="1:32" s="3" customFormat="1" ht="59.25" customHeight="1">
      <c r="A17" s="7" t="s">
        <v>107</v>
      </c>
      <c r="B17" s="33"/>
      <c r="C17" s="86">
        <f>IF('конкурсные предложения'!B15-'конкурсная документация'!C40&lt;0,"ошибка","")</f>
      </c>
      <c r="D17" s="86">
        <f>IF('конкурсные предложения'!C15-'конкурсная документация'!D40&lt;0,"ошибка","")</f>
      </c>
      <c r="E17" s="86">
        <f>IF('конкурсные предложения'!D15-'конкурсная документация'!E40&lt;0,"ошибка","")</f>
      </c>
      <c r="F17" s="86">
        <f>IF('конкурсные предложения'!E15-'конкурсная документация'!F40&lt;0,"ошибка","")</f>
      </c>
      <c r="G17" s="86">
        <f>IF('конкурсные предложения'!F15-'конкурсная документация'!G40&lt;0,"ошибка","")</f>
      </c>
      <c r="H17" s="86">
        <f>IF('конкурсные предложения'!G15-'конкурсная документация'!H40&lt;0,"ошибка","")</f>
      </c>
      <c r="I17" s="86">
        <f>IF('конкурсные предложения'!H15-'конкурсная документация'!I40&lt;0,"ошибка","")</f>
      </c>
      <c r="J17" s="86">
        <f>IF('конкурсные предложения'!I15-'конкурсная документация'!J40&lt;0,"ошибка","")</f>
      </c>
      <c r="K17" s="86">
        <f>IF('конкурсные предложения'!J15-'конкурсная документация'!K40&lt;0,"ошибка","")</f>
      </c>
      <c r="L17" s="86">
        <f>IF('конкурсные предложения'!K15-'конкурсная документация'!L40&lt;0,"ошибка","")</f>
      </c>
      <c r="M17" s="86">
        <f>IF('конкурсные предложения'!L15-'конкурсная документация'!M40&lt;0,"ошибка","")</f>
      </c>
      <c r="N17" s="86">
        <f>IF('конкурсные предложения'!M15-'конкурсная документация'!N40&lt;0,"ошибка","")</f>
      </c>
      <c r="O17" s="86">
        <f>IF('конкурсные предложения'!N15-'конкурсная документация'!O40&lt;0,"ошибка","")</f>
      </c>
      <c r="P17" s="86">
        <f>IF('конкурсные предложения'!O15-'конкурсная документация'!P40&lt;0,"ошибка","")</f>
      </c>
      <c r="Q17" s="86">
        <f>IF('конкурсные предложения'!P15-'конкурсная документация'!Q40&lt;0,"ошибка","")</f>
      </c>
      <c r="R17" s="86">
        <f>IF('конкурсные предложения'!Q15-'конкурсная документация'!R40&lt;0,"ошибка","")</f>
      </c>
      <c r="S17" s="86">
        <f>IF('конкурсные предложения'!R15-'конкурсная документация'!S40&lt;0,"ошибка","")</f>
      </c>
      <c r="T17" s="86">
        <f>IF('конкурсные предложения'!S15-'конкурсная документация'!T40&lt;0,"ошибка","")</f>
      </c>
      <c r="U17" s="86">
        <f>IF('конкурсные предложения'!T15-'конкурсная документация'!U40&lt;0,"ошибка","")</f>
      </c>
      <c r="V17" s="86">
        <f>IF('конкурсные предложения'!U15-'конкурсная документация'!V40&lt;0,"ошибка","")</f>
      </c>
      <c r="W17" s="86">
        <f>IF('конкурсные предложения'!V15-'конкурсная документация'!W40&lt;0,"ошибка","")</f>
      </c>
      <c r="X17" s="86">
        <f>IF('конкурсные предложения'!W15-'конкурсная документация'!X40&lt;0,"ошибка","")</f>
      </c>
      <c r="Y17" s="86">
        <f>IF('конкурсные предложения'!X15-'конкурсная документация'!Y40&lt;0,"ошибка","")</f>
      </c>
      <c r="Z17" s="86">
        <f>IF('конкурсные предложения'!Y15-'конкурсная документация'!Z40&lt;0,"ошибка","")</f>
      </c>
      <c r="AA17" s="86">
        <f>IF('конкурсные предложения'!Z15-'конкурсная документация'!AA40&lt;0,"ошибка","")</f>
      </c>
      <c r="AB17" s="86">
        <f>IF('конкурсные предложения'!AA15-'конкурсная документация'!AB40&lt;0,"ошибка","")</f>
      </c>
      <c r="AC17" s="86">
        <f>IF('конкурсные предложения'!AB15-'конкурсная документация'!AC40&lt;0,"ошибка","")</f>
      </c>
      <c r="AD17" s="86">
        <f>IF('конкурсные предложения'!AC15-'конкурсная документация'!AD40&lt;0,"ошибка","")</f>
      </c>
      <c r="AE17" s="86">
        <f>IF('конкурсные предложения'!AD15-'конкурсная документация'!AE40&lt;0,"ошибка","")</f>
      </c>
      <c r="AF17" s="86">
        <f>IF('конкурсные предложения'!AE15-'конкурсная документация'!AF40&lt;0,"ошибка","")</f>
      </c>
    </row>
    <row r="18" spans="1:32" s="3" customFormat="1" ht="60">
      <c r="A18" s="7" t="s">
        <v>33</v>
      </c>
      <c r="B18" s="45"/>
      <c r="C18" s="86">
        <f>'конкурсная документация'!C25</f>
        <v>200</v>
      </c>
      <c r="D18" s="89">
        <f>C19</f>
        <v>190</v>
      </c>
      <c r="E18" s="89">
        <f aca="true" t="shared" si="0" ref="E18:W18">D19</f>
        <v>180</v>
      </c>
      <c r="F18" s="89">
        <f t="shared" si="0"/>
        <v>170</v>
      </c>
      <c r="G18" s="89">
        <f t="shared" si="0"/>
        <v>160</v>
      </c>
      <c r="H18" s="89">
        <f t="shared" si="0"/>
        <v>150</v>
      </c>
      <c r="I18" s="89">
        <f t="shared" si="0"/>
        <v>140</v>
      </c>
      <c r="J18" s="89">
        <f t="shared" si="0"/>
        <v>130</v>
      </c>
      <c r="K18" s="89">
        <f t="shared" si="0"/>
        <v>120</v>
      </c>
      <c r="L18" s="89">
        <f t="shared" si="0"/>
        <v>110</v>
      </c>
      <c r="M18" s="89">
        <f t="shared" si="0"/>
        <v>100</v>
      </c>
      <c r="N18" s="89">
        <f t="shared" si="0"/>
        <v>90</v>
      </c>
      <c r="O18" s="89">
        <f t="shared" si="0"/>
        <v>80</v>
      </c>
      <c r="P18" s="89">
        <f t="shared" si="0"/>
        <v>70</v>
      </c>
      <c r="Q18" s="89">
        <f t="shared" si="0"/>
        <v>60</v>
      </c>
      <c r="R18" s="89">
        <f t="shared" si="0"/>
        <v>50</v>
      </c>
      <c r="S18" s="89">
        <f t="shared" si="0"/>
        <v>40</v>
      </c>
      <c r="T18" s="89">
        <f t="shared" si="0"/>
        <v>30</v>
      </c>
      <c r="U18" s="89">
        <f t="shared" si="0"/>
        <v>20</v>
      </c>
      <c r="V18" s="89">
        <f t="shared" si="0"/>
        <v>10</v>
      </c>
      <c r="W18" s="89">
        <f t="shared" si="0"/>
        <v>0</v>
      </c>
      <c r="X18" s="89">
        <f aca="true" t="shared" si="1" ref="X18:AF18">W19</f>
        <v>0</v>
      </c>
      <c r="Y18" s="89">
        <f t="shared" si="1"/>
        <v>0</v>
      </c>
      <c r="Z18" s="89">
        <f t="shared" si="1"/>
        <v>0</v>
      </c>
      <c r="AA18" s="89">
        <f t="shared" si="1"/>
        <v>0</v>
      </c>
      <c r="AB18" s="89">
        <f t="shared" si="1"/>
        <v>0</v>
      </c>
      <c r="AC18" s="89">
        <f t="shared" si="1"/>
        <v>0</v>
      </c>
      <c r="AD18" s="89">
        <f t="shared" si="1"/>
        <v>0</v>
      </c>
      <c r="AE18" s="89">
        <f t="shared" si="1"/>
        <v>0</v>
      </c>
      <c r="AF18" s="89">
        <f t="shared" si="1"/>
        <v>0</v>
      </c>
    </row>
    <row r="19" spans="1:32" s="3" customFormat="1" ht="60">
      <c r="A19" s="7" t="s">
        <v>35</v>
      </c>
      <c r="B19" s="45"/>
      <c r="C19" s="89">
        <f>IF(C18-C20&gt;0,C18-C20,0)</f>
        <v>190</v>
      </c>
      <c r="D19" s="89">
        <f aca="true" t="shared" si="2" ref="D19:V19">IF(C19-D20&gt;0,C19-D20,0)</f>
        <v>180</v>
      </c>
      <c r="E19" s="89">
        <f t="shared" si="2"/>
        <v>170</v>
      </c>
      <c r="F19" s="89">
        <f t="shared" si="2"/>
        <v>160</v>
      </c>
      <c r="G19" s="89">
        <f t="shared" si="2"/>
        <v>150</v>
      </c>
      <c r="H19" s="89">
        <f t="shared" si="2"/>
        <v>140</v>
      </c>
      <c r="I19" s="89">
        <f t="shared" si="2"/>
        <v>130</v>
      </c>
      <c r="J19" s="89">
        <f t="shared" si="2"/>
        <v>120</v>
      </c>
      <c r="K19" s="89">
        <f t="shared" si="2"/>
        <v>110</v>
      </c>
      <c r="L19" s="89">
        <f t="shared" si="2"/>
        <v>100</v>
      </c>
      <c r="M19" s="89">
        <f t="shared" si="2"/>
        <v>90</v>
      </c>
      <c r="N19" s="89">
        <f t="shared" si="2"/>
        <v>80</v>
      </c>
      <c r="O19" s="89">
        <f t="shared" si="2"/>
        <v>70</v>
      </c>
      <c r="P19" s="89">
        <f t="shared" si="2"/>
        <v>60</v>
      </c>
      <c r="Q19" s="89">
        <f t="shared" si="2"/>
        <v>50</v>
      </c>
      <c r="R19" s="89">
        <f t="shared" si="2"/>
        <v>40</v>
      </c>
      <c r="S19" s="89">
        <f t="shared" si="2"/>
        <v>30</v>
      </c>
      <c r="T19" s="89">
        <f t="shared" si="2"/>
        <v>20</v>
      </c>
      <c r="U19" s="89">
        <f t="shared" si="2"/>
        <v>10</v>
      </c>
      <c r="V19" s="89">
        <f t="shared" si="2"/>
        <v>0</v>
      </c>
      <c r="W19" s="89">
        <f aca="true" t="shared" si="3" ref="W19:AF19">IF(W18-W20&gt;0,W18-W20,0)</f>
        <v>0</v>
      </c>
      <c r="X19" s="89">
        <f t="shared" si="3"/>
        <v>0</v>
      </c>
      <c r="Y19" s="89">
        <f t="shared" si="3"/>
        <v>0</v>
      </c>
      <c r="Z19" s="89">
        <f t="shared" si="3"/>
        <v>0</v>
      </c>
      <c r="AA19" s="89">
        <f t="shared" si="3"/>
        <v>0</v>
      </c>
      <c r="AB19" s="89">
        <f t="shared" si="3"/>
        <v>0</v>
      </c>
      <c r="AC19" s="89">
        <f t="shared" si="3"/>
        <v>0</v>
      </c>
      <c r="AD19" s="89">
        <f t="shared" si="3"/>
        <v>0</v>
      </c>
      <c r="AE19" s="89">
        <f t="shared" si="3"/>
        <v>0</v>
      </c>
      <c r="AF19" s="89">
        <f t="shared" si="3"/>
        <v>0</v>
      </c>
    </row>
    <row r="20" spans="1:32" s="3" customFormat="1" ht="45.75" customHeight="1">
      <c r="A20" s="8" t="s">
        <v>36</v>
      </c>
      <c r="B20" s="45"/>
      <c r="C20" s="89">
        <f>IF($C18/$C$15*C$5&gt;$C18,0,$C18/$C$15)</f>
        <v>10</v>
      </c>
      <c r="D20" s="89">
        <f aca="true" t="shared" si="4" ref="D20:AF20">IF($C18/$C$15*D$5&gt;$C18,0,$C18/$C$15)</f>
        <v>10</v>
      </c>
      <c r="E20" s="89">
        <f t="shared" si="4"/>
        <v>10</v>
      </c>
      <c r="F20" s="89">
        <f t="shared" si="4"/>
        <v>10</v>
      </c>
      <c r="G20" s="89">
        <f t="shared" si="4"/>
        <v>10</v>
      </c>
      <c r="H20" s="89">
        <f t="shared" si="4"/>
        <v>10</v>
      </c>
      <c r="I20" s="89">
        <f t="shared" si="4"/>
        <v>10</v>
      </c>
      <c r="J20" s="89">
        <f t="shared" si="4"/>
        <v>10</v>
      </c>
      <c r="K20" s="89">
        <f t="shared" si="4"/>
        <v>10</v>
      </c>
      <c r="L20" s="89">
        <f t="shared" si="4"/>
        <v>10</v>
      </c>
      <c r="M20" s="89">
        <f t="shared" si="4"/>
        <v>10</v>
      </c>
      <c r="N20" s="89">
        <f t="shared" si="4"/>
        <v>10</v>
      </c>
      <c r="O20" s="89">
        <f t="shared" si="4"/>
        <v>10</v>
      </c>
      <c r="P20" s="89">
        <f t="shared" si="4"/>
        <v>10</v>
      </c>
      <c r="Q20" s="89">
        <f t="shared" si="4"/>
        <v>10</v>
      </c>
      <c r="R20" s="89">
        <f t="shared" si="4"/>
        <v>10</v>
      </c>
      <c r="S20" s="89">
        <f t="shared" si="4"/>
        <v>10</v>
      </c>
      <c r="T20" s="89">
        <f t="shared" si="4"/>
        <v>10</v>
      </c>
      <c r="U20" s="89">
        <f t="shared" si="4"/>
        <v>10</v>
      </c>
      <c r="V20" s="89">
        <f t="shared" si="4"/>
        <v>10</v>
      </c>
      <c r="W20" s="89">
        <f t="shared" si="4"/>
        <v>0</v>
      </c>
      <c r="X20" s="89">
        <f t="shared" si="4"/>
        <v>0</v>
      </c>
      <c r="Y20" s="89">
        <f t="shared" si="4"/>
        <v>0</v>
      </c>
      <c r="Z20" s="89">
        <f t="shared" si="4"/>
        <v>0</v>
      </c>
      <c r="AA20" s="89">
        <f t="shared" si="4"/>
        <v>0</v>
      </c>
      <c r="AB20" s="89">
        <f t="shared" si="4"/>
        <v>0</v>
      </c>
      <c r="AC20" s="89">
        <f t="shared" si="4"/>
        <v>0</v>
      </c>
      <c r="AD20" s="89">
        <f t="shared" si="4"/>
        <v>0</v>
      </c>
      <c r="AE20" s="89">
        <f t="shared" si="4"/>
        <v>0</v>
      </c>
      <c r="AF20" s="89">
        <f t="shared" si="4"/>
        <v>0</v>
      </c>
    </row>
    <row r="21" spans="1:32" s="3" customFormat="1" ht="30">
      <c r="A21" s="7" t="s">
        <v>1</v>
      </c>
      <c r="B21" s="45"/>
      <c r="C21" s="89">
        <v>0</v>
      </c>
      <c r="D21" s="89">
        <f>C22</f>
        <v>209.00000000000003</v>
      </c>
      <c r="E21" s="89">
        <f aca="true" t="shared" si="5" ref="E21:AF21">D22</f>
        <v>430.54000000000013</v>
      </c>
      <c r="F21" s="89">
        <f t="shared" si="5"/>
        <v>652.0800000000003</v>
      </c>
      <c r="G21" s="89">
        <f t="shared" si="5"/>
        <v>878.4917900000004</v>
      </c>
      <c r="H21" s="89">
        <f t="shared" si="5"/>
        <v>1110.1163953000005</v>
      </c>
      <c r="I21" s="89">
        <f t="shared" si="5"/>
        <v>1347.3187129710007</v>
      </c>
      <c r="J21" s="89">
        <f t="shared" si="5"/>
        <v>1590.4891828789707</v>
      </c>
      <c r="K21" s="89">
        <f t="shared" si="5"/>
        <v>1840.0455756804988</v>
      </c>
      <c r="L21" s="89">
        <f t="shared" si="5"/>
        <v>2096.434905978134</v>
      </c>
      <c r="M21" s="89">
        <f t="shared" si="5"/>
        <v>2360.1354793966034</v>
      </c>
      <c r="N21" s="89">
        <f t="shared" si="5"/>
        <v>2851.939142139717</v>
      </c>
      <c r="O21" s="89">
        <f t="shared" si="5"/>
        <v>3592.218711643907</v>
      </c>
      <c r="P21" s="89">
        <f t="shared" si="5"/>
        <v>4603.081494649015</v>
      </c>
      <c r="Q21" s="89">
        <f t="shared" si="5"/>
        <v>5908.512288895333</v>
      </c>
      <c r="R21" s="89">
        <f t="shared" si="5"/>
        <v>7534.527906060636</v>
      </c>
      <c r="S21" s="89">
        <f t="shared" si="5"/>
        <v>9509.34412820251</v>
      </c>
      <c r="T21" s="89">
        <f t="shared" si="5"/>
        <v>11863.556081234296</v>
      </c>
      <c r="U21" s="89">
        <f t="shared" si="5"/>
        <v>14630.333085732816</v>
      </c>
      <c r="V21" s="89">
        <f t="shared" si="5"/>
        <v>17845.629128074295</v>
      </c>
      <c r="W21" s="89">
        <f t="shared" si="5"/>
        <v>21548.41018397543</v>
      </c>
      <c r="X21" s="89">
        <f t="shared" si="5"/>
        <v>25780.899722467835</v>
      </c>
      <c r="Y21" s="89">
        <f t="shared" si="5"/>
        <v>30599.293821681105</v>
      </c>
      <c r="Z21" s="89">
        <f t="shared" si="5"/>
        <v>36054.29693911828</v>
      </c>
      <c r="AA21" s="89">
        <f t="shared" si="5"/>
        <v>42200.1619739853</v>
      </c>
      <c r="AB21" s="89">
        <f t="shared" si="5"/>
        <v>49095.866076487626</v>
      </c>
      <c r="AC21" s="89">
        <f t="shared" si="5"/>
        <v>56805.2579744641</v>
      </c>
      <c r="AD21" s="89">
        <f t="shared" si="5"/>
        <v>65397.45100621954</v>
      </c>
      <c r="AE21" s="89">
        <f t="shared" si="5"/>
        <v>74947.24730722369</v>
      </c>
      <c r="AF21" s="89">
        <f t="shared" si="5"/>
        <v>85535.59558635647</v>
      </c>
    </row>
    <row r="22" spans="1:32" s="3" customFormat="1" ht="30">
      <c r="A22" s="7" t="s">
        <v>2</v>
      </c>
      <c r="B22" s="45"/>
      <c r="C22" s="89">
        <f aca="true" t="shared" si="6" ref="C22:AF22">C21+C16-C52</f>
        <v>209.00000000000003</v>
      </c>
      <c r="D22" s="89">
        <f t="shared" si="6"/>
        <v>430.54000000000013</v>
      </c>
      <c r="E22" s="89">
        <f t="shared" si="6"/>
        <v>652.0800000000003</v>
      </c>
      <c r="F22" s="89">
        <f t="shared" si="6"/>
        <v>878.4917900000004</v>
      </c>
      <c r="G22" s="89">
        <f t="shared" si="6"/>
        <v>1110.1163953000005</v>
      </c>
      <c r="H22" s="89">
        <f t="shared" si="6"/>
        <v>1347.3187129710007</v>
      </c>
      <c r="I22" s="89">
        <f t="shared" si="6"/>
        <v>1590.4891828789707</v>
      </c>
      <c r="J22" s="89">
        <f t="shared" si="6"/>
        <v>1840.0455756804988</v>
      </c>
      <c r="K22" s="89">
        <f t="shared" si="6"/>
        <v>2096.434905978134</v>
      </c>
      <c r="L22" s="89">
        <f t="shared" si="6"/>
        <v>2360.1354793966034</v>
      </c>
      <c r="M22" s="89">
        <f t="shared" si="6"/>
        <v>2851.939142139717</v>
      </c>
      <c r="N22" s="89">
        <f t="shared" si="6"/>
        <v>3592.218711643907</v>
      </c>
      <c r="O22" s="89">
        <f t="shared" si="6"/>
        <v>4603.081494649015</v>
      </c>
      <c r="P22" s="89">
        <f t="shared" si="6"/>
        <v>5908.512288895333</v>
      </c>
      <c r="Q22" s="89">
        <f t="shared" si="6"/>
        <v>7534.527906060636</v>
      </c>
      <c r="R22" s="89">
        <f t="shared" si="6"/>
        <v>9509.34412820251</v>
      </c>
      <c r="S22" s="89">
        <f t="shared" si="6"/>
        <v>11863.556081234296</v>
      </c>
      <c r="T22" s="89">
        <f t="shared" si="6"/>
        <v>14630.333085732816</v>
      </c>
      <c r="U22" s="89">
        <f t="shared" si="6"/>
        <v>17845.629128074295</v>
      </c>
      <c r="V22" s="89">
        <f t="shared" si="6"/>
        <v>21548.41018397543</v>
      </c>
      <c r="W22" s="89">
        <f t="shared" si="6"/>
        <v>25780.899722467835</v>
      </c>
      <c r="X22" s="89">
        <f t="shared" si="6"/>
        <v>30599.293821681105</v>
      </c>
      <c r="Y22" s="89">
        <f t="shared" si="6"/>
        <v>36054.29693911828</v>
      </c>
      <c r="Z22" s="89">
        <f t="shared" si="6"/>
        <v>42200.1619739853</v>
      </c>
      <c r="AA22" s="89">
        <f t="shared" si="6"/>
        <v>49095.866076487626</v>
      </c>
      <c r="AB22" s="89">
        <f t="shared" si="6"/>
        <v>56805.2579744641</v>
      </c>
      <c r="AC22" s="89">
        <f t="shared" si="6"/>
        <v>65397.45100621954</v>
      </c>
      <c r="AD22" s="89">
        <f t="shared" si="6"/>
        <v>74947.24730722369</v>
      </c>
      <c r="AE22" s="89">
        <f t="shared" si="6"/>
        <v>85535.59558635647</v>
      </c>
      <c r="AF22" s="89">
        <f t="shared" si="6"/>
        <v>97250.08511572171</v>
      </c>
    </row>
    <row r="23" spans="1:32" s="3" customFormat="1" ht="15">
      <c r="A23" s="294" t="s">
        <v>209</v>
      </c>
      <c r="B23" s="23"/>
      <c r="C23" s="122"/>
      <c r="D23" s="122">
        <f aca="true" t="shared" si="7" ref="D23:AF23">IF($C$16/$C$15*(D$5-$C$5)&gt;$C$16,0,$C$16/$C$15)</f>
        <v>10.450000000000001</v>
      </c>
      <c r="E23" s="122">
        <f t="shared" si="7"/>
        <v>10.450000000000001</v>
      </c>
      <c r="F23" s="122">
        <f t="shared" si="7"/>
        <v>10.450000000000001</v>
      </c>
      <c r="G23" s="122">
        <f t="shared" si="7"/>
        <v>10.450000000000001</v>
      </c>
      <c r="H23" s="122">
        <f t="shared" si="7"/>
        <v>10.450000000000001</v>
      </c>
      <c r="I23" s="122">
        <f t="shared" si="7"/>
        <v>10.450000000000001</v>
      </c>
      <c r="J23" s="122">
        <f t="shared" si="7"/>
        <v>10.450000000000001</v>
      </c>
      <c r="K23" s="122">
        <f t="shared" si="7"/>
        <v>10.450000000000001</v>
      </c>
      <c r="L23" s="122">
        <f t="shared" si="7"/>
        <v>10.450000000000001</v>
      </c>
      <c r="M23" s="122">
        <f t="shared" si="7"/>
        <v>10.450000000000001</v>
      </c>
      <c r="N23" s="122">
        <f t="shared" si="7"/>
        <v>10.450000000000001</v>
      </c>
      <c r="O23" s="122">
        <f t="shared" si="7"/>
        <v>10.450000000000001</v>
      </c>
      <c r="P23" s="122">
        <f t="shared" si="7"/>
        <v>10.450000000000001</v>
      </c>
      <c r="Q23" s="122">
        <f t="shared" si="7"/>
        <v>10.450000000000001</v>
      </c>
      <c r="R23" s="122">
        <f t="shared" si="7"/>
        <v>10.450000000000001</v>
      </c>
      <c r="S23" s="122">
        <f t="shared" si="7"/>
        <v>10.450000000000001</v>
      </c>
      <c r="T23" s="122">
        <f t="shared" si="7"/>
        <v>10.450000000000001</v>
      </c>
      <c r="U23" s="122">
        <f t="shared" si="7"/>
        <v>10.450000000000001</v>
      </c>
      <c r="V23" s="122">
        <f t="shared" si="7"/>
        <v>10.450000000000001</v>
      </c>
      <c r="W23" s="122">
        <f t="shared" si="7"/>
        <v>10.450000000000001</v>
      </c>
      <c r="X23" s="122">
        <f t="shared" si="7"/>
        <v>0</v>
      </c>
      <c r="Y23" s="122">
        <f t="shared" si="7"/>
        <v>0</v>
      </c>
      <c r="Z23" s="122">
        <f t="shared" si="7"/>
        <v>0</v>
      </c>
      <c r="AA23" s="122">
        <f t="shared" si="7"/>
        <v>0</v>
      </c>
      <c r="AB23" s="122">
        <f t="shared" si="7"/>
        <v>0</v>
      </c>
      <c r="AC23" s="122">
        <f t="shared" si="7"/>
        <v>0</v>
      </c>
      <c r="AD23" s="122">
        <f t="shared" si="7"/>
        <v>0</v>
      </c>
      <c r="AE23" s="122">
        <f t="shared" si="7"/>
        <v>0</v>
      </c>
      <c r="AF23" s="122">
        <f t="shared" si="7"/>
        <v>0</v>
      </c>
    </row>
    <row r="24" spans="1:32" s="3" customFormat="1" ht="15">
      <c r="A24" s="294" t="s">
        <v>210</v>
      </c>
      <c r="B24" s="23"/>
      <c r="C24" s="122"/>
      <c r="D24" s="123"/>
      <c r="E24" s="122">
        <f aca="true" t="shared" si="8" ref="E24:AF24">IF($D$16/$C$15*(E$5-$D$5)&gt;$D$16,0,$D$16/$C$15)</f>
        <v>11.599500000000003</v>
      </c>
      <c r="F24" s="122">
        <f t="shared" si="8"/>
        <v>11.599500000000003</v>
      </c>
      <c r="G24" s="122">
        <f t="shared" si="8"/>
        <v>11.599500000000003</v>
      </c>
      <c r="H24" s="122">
        <f t="shared" si="8"/>
        <v>11.599500000000003</v>
      </c>
      <c r="I24" s="122">
        <f t="shared" si="8"/>
        <v>11.599500000000003</v>
      </c>
      <c r="J24" s="122">
        <f t="shared" si="8"/>
        <v>11.599500000000003</v>
      </c>
      <c r="K24" s="122">
        <f t="shared" si="8"/>
        <v>11.599500000000003</v>
      </c>
      <c r="L24" s="122">
        <f t="shared" si="8"/>
        <v>11.599500000000003</v>
      </c>
      <c r="M24" s="122">
        <f t="shared" si="8"/>
        <v>11.599500000000003</v>
      </c>
      <c r="N24" s="122">
        <f t="shared" si="8"/>
        <v>11.599500000000003</v>
      </c>
      <c r="O24" s="122">
        <f t="shared" si="8"/>
        <v>11.599500000000003</v>
      </c>
      <c r="P24" s="122">
        <f t="shared" si="8"/>
        <v>11.599500000000003</v>
      </c>
      <c r="Q24" s="122">
        <f t="shared" si="8"/>
        <v>11.599500000000003</v>
      </c>
      <c r="R24" s="122">
        <f t="shared" si="8"/>
        <v>11.599500000000003</v>
      </c>
      <c r="S24" s="122">
        <f t="shared" si="8"/>
        <v>11.599500000000003</v>
      </c>
      <c r="T24" s="122">
        <f t="shared" si="8"/>
        <v>11.599500000000003</v>
      </c>
      <c r="U24" s="122">
        <f t="shared" si="8"/>
        <v>11.599500000000003</v>
      </c>
      <c r="V24" s="122">
        <f t="shared" si="8"/>
        <v>11.599500000000003</v>
      </c>
      <c r="W24" s="122">
        <f t="shared" si="8"/>
        <v>11.599500000000003</v>
      </c>
      <c r="X24" s="122">
        <f t="shared" si="8"/>
        <v>11.599500000000003</v>
      </c>
      <c r="Y24" s="122">
        <f t="shared" si="8"/>
        <v>0</v>
      </c>
      <c r="Z24" s="122">
        <f t="shared" si="8"/>
        <v>0</v>
      </c>
      <c r="AA24" s="122">
        <f t="shared" si="8"/>
        <v>0</v>
      </c>
      <c r="AB24" s="122">
        <f t="shared" si="8"/>
        <v>0</v>
      </c>
      <c r="AC24" s="122">
        <f t="shared" si="8"/>
        <v>0</v>
      </c>
      <c r="AD24" s="122">
        <f t="shared" si="8"/>
        <v>0</v>
      </c>
      <c r="AE24" s="122">
        <f t="shared" si="8"/>
        <v>0</v>
      </c>
      <c r="AF24" s="122">
        <f t="shared" si="8"/>
        <v>0</v>
      </c>
    </row>
    <row r="25" spans="1:32" s="3" customFormat="1" ht="15">
      <c r="A25" s="294" t="s">
        <v>211</v>
      </c>
      <c r="B25" s="23"/>
      <c r="C25" s="122"/>
      <c r="D25" s="122"/>
      <c r="E25" s="122"/>
      <c r="F25" s="122">
        <f aca="true" t="shared" si="9" ref="F25:AF25">IF($E$16/$C$15*(F$5-$E$5)&gt;$E$16,0,$E$16/$C$15)</f>
        <v>12.179475000000004</v>
      </c>
      <c r="G25" s="122">
        <f t="shared" si="9"/>
        <v>12.179475000000004</v>
      </c>
      <c r="H25" s="122">
        <f t="shared" si="9"/>
        <v>12.179475000000004</v>
      </c>
      <c r="I25" s="122">
        <f t="shared" si="9"/>
        <v>12.179475000000004</v>
      </c>
      <c r="J25" s="122">
        <f t="shared" si="9"/>
        <v>12.179475000000004</v>
      </c>
      <c r="K25" s="122">
        <f t="shared" si="9"/>
        <v>12.179475000000004</v>
      </c>
      <c r="L25" s="122">
        <f t="shared" si="9"/>
        <v>12.179475000000004</v>
      </c>
      <c r="M25" s="122">
        <f t="shared" si="9"/>
        <v>12.179475000000004</v>
      </c>
      <c r="N25" s="122">
        <f t="shared" si="9"/>
        <v>12.179475000000004</v>
      </c>
      <c r="O25" s="122">
        <f t="shared" si="9"/>
        <v>12.179475000000004</v>
      </c>
      <c r="P25" s="122">
        <f t="shared" si="9"/>
        <v>12.179475000000004</v>
      </c>
      <c r="Q25" s="122">
        <f t="shared" si="9"/>
        <v>12.179475000000004</v>
      </c>
      <c r="R25" s="122">
        <f t="shared" si="9"/>
        <v>12.179475000000004</v>
      </c>
      <c r="S25" s="122">
        <f t="shared" si="9"/>
        <v>12.179475000000004</v>
      </c>
      <c r="T25" s="122">
        <f t="shared" si="9"/>
        <v>12.179475000000004</v>
      </c>
      <c r="U25" s="122">
        <f t="shared" si="9"/>
        <v>12.179475000000004</v>
      </c>
      <c r="V25" s="122">
        <f t="shared" si="9"/>
        <v>12.179475000000004</v>
      </c>
      <c r="W25" s="122">
        <f t="shared" si="9"/>
        <v>12.179475000000004</v>
      </c>
      <c r="X25" s="122">
        <f t="shared" si="9"/>
        <v>12.179475000000004</v>
      </c>
      <c r="Y25" s="122">
        <f t="shared" si="9"/>
        <v>12.179475000000004</v>
      </c>
      <c r="Z25" s="122">
        <f t="shared" si="9"/>
        <v>0</v>
      </c>
      <c r="AA25" s="122">
        <f t="shared" si="9"/>
        <v>0</v>
      </c>
      <c r="AB25" s="122">
        <f t="shared" si="9"/>
        <v>0</v>
      </c>
      <c r="AC25" s="122">
        <f t="shared" si="9"/>
        <v>0</v>
      </c>
      <c r="AD25" s="122">
        <f t="shared" si="9"/>
        <v>0</v>
      </c>
      <c r="AE25" s="122">
        <f t="shared" si="9"/>
        <v>0</v>
      </c>
      <c r="AF25" s="122">
        <f t="shared" si="9"/>
        <v>0</v>
      </c>
    </row>
    <row r="26" spans="1:32" s="3" customFormat="1" ht="15">
      <c r="A26" s="294" t="s">
        <v>212</v>
      </c>
      <c r="B26" s="23"/>
      <c r="C26" s="122"/>
      <c r="D26" s="122"/>
      <c r="E26" s="122"/>
      <c r="F26" s="122"/>
      <c r="G26" s="122">
        <f aca="true" t="shared" si="10" ref="G26:AF26">IF($F$16/$C$15*(G$5-$F$5)&gt;$F$16,0,$F$16/$C$15)</f>
        <v>13.032038250000005</v>
      </c>
      <c r="H26" s="122">
        <f t="shared" si="10"/>
        <v>13.032038250000005</v>
      </c>
      <c r="I26" s="122">
        <f t="shared" si="10"/>
        <v>13.032038250000005</v>
      </c>
      <c r="J26" s="122">
        <f t="shared" si="10"/>
        <v>13.032038250000005</v>
      </c>
      <c r="K26" s="122">
        <f t="shared" si="10"/>
        <v>13.032038250000005</v>
      </c>
      <c r="L26" s="122">
        <f t="shared" si="10"/>
        <v>13.032038250000005</v>
      </c>
      <c r="M26" s="122">
        <f t="shared" si="10"/>
        <v>13.032038250000005</v>
      </c>
      <c r="N26" s="122">
        <f t="shared" si="10"/>
        <v>13.032038250000005</v>
      </c>
      <c r="O26" s="122">
        <f t="shared" si="10"/>
        <v>13.032038250000005</v>
      </c>
      <c r="P26" s="122">
        <f t="shared" si="10"/>
        <v>13.032038250000005</v>
      </c>
      <c r="Q26" s="122">
        <f t="shared" si="10"/>
        <v>13.032038250000005</v>
      </c>
      <c r="R26" s="122">
        <f t="shared" si="10"/>
        <v>13.032038250000005</v>
      </c>
      <c r="S26" s="122">
        <f t="shared" si="10"/>
        <v>13.032038250000005</v>
      </c>
      <c r="T26" s="122">
        <f t="shared" si="10"/>
        <v>13.032038250000005</v>
      </c>
      <c r="U26" s="122">
        <f t="shared" si="10"/>
        <v>13.032038250000005</v>
      </c>
      <c r="V26" s="122">
        <f t="shared" si="10"/>
        <v>13.032038250000005</v>
      </c>
      <c r="W26" s="122">
        <f t="shared" si="10"/>
        <v>13.032038250000005</v>
      </c>
      <c r="X26" s="122">
        <f t="shared" si="10"/>
        <v>13.032038250000005</v>
      </c>
      <c r="Y26" s="122">
        <f t="shared" si="10"/>
        <v>13.032038250000005</v>
      </c>
      <c r="Z26" s="122">
        <f t="shared" si="10"/>
        <v>13.032038250000005</v>
      </c>
      <c r="AA26" s="122">
        <f t="shared" si="10"/>
        <v>0</v>
      </c>
      <c r="AB26" s="122">
        <f t="shared" si="10"/>
        <v>0</v>
      </c>
      <c r="AC26" s="122">
        <f t="shared" si="10"/>
        <v>0</v>
      </c>
      <c r="AD26" s="122">
        <f t="shared" si="10"/>
        <v>0</v>
      </c>
      <c r="AE26" s="122">
        <f t="shared" si="10"/>
        <v>0</v>
      </c>
      <c r="AF26" s="122">
        <f t="shared" si="10"/>
        <v>0</v>
      </c>
    </row>
    <row r="27" spans="1:32" s="3" customFormat="1" ht="15">
      <c r="A27" s="294" t="s">
        <v>213</v>
      </c>
      <c r="B27" s="23"/>
      <c r="C27" s="122"/>
      <c r="D27" s="122"/>
      <c r="E27" s="122"/>
      <c r="F27" s="122"/>
      <c r="G27" s="122"/>
      <c r="H27" s="122">
        <f aca="true" t="shared" si="11" ref="H27:AF27">IF($G$16/$C$15*(H$5-$G$5)&gt;$G$16,0,$G$16/$C$15)</f>
        <v>13.944280927500007</v>
      </c>
      <c r="I27" s="122">
        <f t="shared" si="11"/>
        <v>13.944280927500007</v>
      </c>
      <c r="J27" s="122">
        <f t="shared" si="11"/>
        <v>13.944280927500007</v>
      </c>
      <c r="K27" s="122">
        <f t="shared" si="11"/>
        <v>13.944280927500007</v>
      </c>
      <c r="L27" s="122">
        <f t="shared" si="11"/>
        <v>13.944280927500007</v>
      </c>
      <c r="M27" s="122">
        <f t="shared" si="11"/>
        <v>13.944280927500007</v>
      </c>
      <c r="N27" s="122">
        <f t="shared" si="11"/>
        <v>13.944280927500007</v>
      </c>
      <c r="O27" s="122">
        <f t="shared" si="11"/>
        <v>13.944280927500007</v>
      </c>
      <c r="P27" s="122">
        <f t="shared" si="11"/>
        <v>13.944280927500007</v>
      </c>
      <c r="Q27" s="122">
        <f t="shared" si="11"/>
        <v>13.944280927500007</v>
      </c>
      <c r="R27" s="122">
        <f t="shared" si="11"/>
        <v>13.944280927500007</v>
      </c>
      <c r="S27" s="122">
        <f t="shared" si="11"/>
        <v>13.944280927500007</v>
      </c>
      <c r="T27" s="122">
        <f t="shared" si="11"/>
        <v>13.944280927500007</v>
      </c>
      <c r="U27" s="122">
        <f t="shared" si="11"/>
        <v>13.944280927500007</v>
      </c>
      <c r="V27" s="122">
        <f t="shared" si="11"/>
        <v>13.944280927500007</v>
      </c>
      <c r="W27" s="122">
        <f t="shared" si="11"/>
        <v>13.944280927500007</v>
      </c>
      <c r="X27" s="122">
        <f t="shared" si="11"/>
        <v>13.944280927500007</v>
      </c>
      <c r="Y27" s="122">
        <f t="shared" si="11"/>
        <v>13.944280927500007</v>
      </c>
      <c r="Z27" s="122">
        <f t="shared" si="11"/>
        <v>13.944280927500007</v>
      </c>
      <c r="AA27" s="122">
        <f t="shared" si="11"/>
        <v>13.944280927500007</v>
      </c>
      <c r="AB27" s="122">
        <f t="shared" si="11"/>
        <v>0</v>
      </c>
      <c r="AC27" s="122">
        <f t="shared" si="11"/>
        <v>0</v>
      </c>
      <c r="AD27" s="122">
        <f t="shared" si="11"/>
        <v>0</v>
      </c>
      <c r="AE27" s="122">
        <f t="shared" si="11"/>
        <v>0</v>
      </c>
      <c r="AF27" s="122">
        <f t="shared" si="11"/>
        <v>0</v>
      </c>
    </row>
    <row r="28" spans="1:32" s="3" customFormat="1" ht="15">
      <c r="A28" s="294" t="s">
        <v>214</v>
      </c>
      <c r="B28" s="23"/>
      <c r="C28" s="122"/>
      <c r="D28" s="122"/>
      <c r="E28" s="122"/>
      <c r="F28" s="122"/>
      <c r="G28" s="122"/>
      <c r="H28" s="122"/>
      <c r="I28" s="122">
        <f aca="true" t="shared" si="12" ref="I28:AF28">IF($H$16/$C$15*(I$5-$H$5)&gt;$H$16,0,$H$16/$C$15)</f>
        <v>14.920380592425008</v>
      </c>
      <c r="J28" s="122">
        <f t="shared" si="12"/>
        <v>14.920380592425008</v>
      </c>
      <c r="K28" s="122">
        <f t="shared" si="12"/>
        <v>14.920380592425008</v>
      </c>
      <c r="L28" s="122">
        <f t="shared" si="12"/>
        <v>14.920380592425008</v>
      </c>
      <c r="M28" s="122">
        <f t="shared" si="12"/>
        <v>14.920380592425008</v>
      </c>
      <c r="N28" s="122">
        <f t="shared" si="12"/>
        <v>14.920380592425008</v>
      </c>
      <c r="O28" s="122">
        <f t="shared" si="12"/>
        <v>14.920380592425008</v>
      </c>
      <c r="P28" s="122">
        <f t="shared" si="12"/>
        <v>14.920380592425008</v>
      </c>
      <c r="Q28" s="122">
        <f t="shared" si="12"/>
        <v>14.920380592425008</v>
      </c>
      <c r="R28" s="122">
        <f t="shared" si="12"/>
        <v>14.920380592425008</v>
      </c>
      <c r="S28" s="122">
        <f t="shared" si="12"/>
        <v>14.920380592425008</v>
      </c>
      <c r="T28" s="122">
        <f t="shared" si="12"/>
        <v>14.920380592425008</v>
      </c>
      <c r="U28" s="122">
        <f t="shared" si="12"/>
        <v>14.920380592425008</v>
      </c>
      <c r="V28" s="122">
        <f t="shared" si="12"/>
        <v>14.920380592425008</v>
      </c>
      <c r="W28" s="122">
        <f t="shared" si="12"/>
        <v>14.920380592425008</v>
      </c>
      <c r="X28" s="122">
        <f t="shared" si="12"/>
        <v>14.920380592425008</v>
      </c>
      <c r="Y28" s="122">
        <f t="shared" si="12"/>
        <v>14.920380592425008</v>
      </c>
      <c r="Z28" s="122">
        <f t="shared" si="12"/>
        <v>14.920380592425008</v>
      </c>
      <c r="AA28" s="122">
        <f t="shared" si="12"/>
        <v>14.920380592425008</v>
      </c>
      <c r="AB28" s="122">
        <f t="shared" si="12"/>
        <v>14.920380592425008</v>
      </c>
      <c r="AC28" s="122">
        <f t="shared" si="12"/>
        <v>0</v>
      </c>
      <c r="AD28" s="122">
        <f t="shared" si="12"/>
        <v>0</v>
      </c>
      <c r="AE28" s="122">
        <f t="shared" si="12"/>
        <v>0</v>
      </c>
      <c r="AF28" s="122">
        <f t="shared" si="12"/>
        <v>0</v>
      </c>
    </row>
    <row r="29" spans="1:32" s="3" customFormat="1" ht="15">
      <c r="A29" s="294" t="s">
        <v>215</v>
      </c>
      <c r="B29" s="23"/>
      <c r="C29" s="122"/>
      <c r="D29" s="122"/>
      <c r="E29" s="122"/>
      <c r="F29" s="122"/>
      <c r="G29" s="122"/>
      <c r="H29" s="122"/>
      <c r="I29" s="122"/>
      <c r="J29" s="122">
        <f aca="true" t="shared" si="13" ref="J29:AF29">IF($I$16/$C$15*(J$5-$I$5)&gt;$I$16,0,$I$16/$C$15)</f>
        <v>15.96480723389476</v>
      </c>
      <c r="K29" s="122">
        <f t="shared" si="13"/>
        <v>15.96480723389476</v>
      </c>
      <c r="L29" s="122">
        <f t="shared" si="13"/>
        <v>15.96480723389476</v>
      </c>
      <c r="M29" s="122">
        <f t="shared" si="13"/>
        <v>15.96480723389476</v>
      </c>
      <c r="N29" s="122">
        <f t="shared" si="13"/>
        <v>15.96480723389476</v>
      </c>
      <c r="O29" s="122">
        <f t="shared" si="13"/>
        <v>15.96480723389476</v>
      </c>
      <c r="P29" s="122">
        <f t="shared" si="13"/>
        <v>15.96480723389476</v>
      </c>
      <c r="Q29" s="122">
        <f t="shared" si="13"/>
        <v>15.96480723389476</v>
      </c>
      <c r="R29" s="122">
        <f t="shared" si="13"/>
        <v>15.96480723389476</v>
      </c>
      <c r="S29" s="122">
        <f t="shared" si="13"/>
        <v>15.96480723389476</v>
      </c>
      <c r="T29" s="122">
        <f t="shared" si="13"/>
        <v>15.96480723389476</v>
      </c>
      <c r="U29" s="122">
        <f t="shared" si="13"/>
        <v>15.96480723389476</v>
      </c>
      <c r="V29" s="122">
        <f t="shared" si="13"/>
        <v>15.96480723389476</v>
      </c>
      <c r="W29" s="122">
        <f t="shared" si="13"/>
        <v>15.96480723389476</v>
      </c>
      <c r="X29" s="122">
        <f t="shared" si="13"/>
        <v>15.96480723389476</v>
      </c>
      <c r="Y29" s="122">
        <f t="shared" si="13"/>
        <v>15.96480723389476</v>
      </c>
      <c r="Z29" s="122">
        <f t="shared" si="13"/>
        <v>15.96480723389476</v>
      </c>
      <c r="AA29" s="122">
        <f t="shared" si="13"/>
        <v>15.96480723389476</v>
      </c>
      <c r="AB29" s="122">
        <f t="shared" si="13"/>
        <v>15.96480723389476</v>
      </c>
      <c r="AC29" s="122">
        <f t="shared" si="13"/>
        <v>15.96480723389476</v>
      </c>
      <c r="AD29" s="122">
        <f t="shared" si="13"/>
        <v>0</v>
      </c>
      <c r="AE29" s="122">
        <f t="shared" si="13"/>
        <v>0</v>
      </c>
      <c r="AF29" s="122">
        <f t="shared" si="13"/>
        <v>0</v>
      </c>
    </row>
    <row r="30" spans="1:32" s="3" customFormat="1" ht="15">
      <c r="A30" s="294" t="s">
        <v>216</v>
      </c>
      <c r="B30" s="23"/>
      <c r="C30" s="122"/>
      <c r="D30" s="122"/>
      <c r="E30" s="122"/>
      <c r="F30" s="122"/>
      <c r="G30" s="122"/>
      <c r="H30" s="122"/>
      <c r="I30" s="122"/>
      <c r="J30" s="122"/>
      <c r="K30" s="122">
        <f aca="true" t="shared" si="14" ref="K30:AF30">IF($J$16/$C$15*(K$5-$J$5)&gt;$J$16,0,$J$16/$C$15)</f>
        <v>17.082343740267394</v>
      </c>
      <c r="L30" s="122">
        <f t="shared" si="14"/>
        <v>17.082343740267394</v>
      </c>
      <c r="M30" s="122">
        <f t="shared" si="14"/>
        <v>17.082343740267394</v>
      </c>
      <c r="N30" s="122">
        <f t="shared" si="14"/>
        <v>17.082343740267394</v>
      </c>
      <c r="O30" s="122">
        <f t="shared" si="14"/>
        <v>17.082343740267394</v>
      </c>
      <c r="P30" s="122">
        <f t="shared" si="14"/>
        <v>17.082343740267394</v>
      </c>
      <c r="Q30" s="122">
        <f t="shared" si="14"/>
        <v>17.082343740267394</v>
      </c>
      <c r="R30" s="122">
        <f t="shared" si="14"/>
        <v>17.082343740267394</v>
      </c>
      <c r="S30" s="122">
        <f t="shared" si="14"/>
        <v>17.082343740267394</v>
      </c>
      <c r="T30" s="122">
        <f t="shared" si="14"/>
        <v>17.082343740267394</v>
      </c>
      <c r="U30" s="122">
        <f t="shared" si="14"/>
        <v>17.082343740267394</v>
      </c>
      <c r="V30" s="122">
        <f t="shared" si="14"/>
        <v>17.082343740267394</v>
      </c>
      <c r="W30" s="122">
        <f t="shared" si="14"/>
        <v>17.082343740267394</v>
      </c>
      <c r="X30" s="122">
        <f t="shared" si="14"/>
        <v>17.082343740267394</v>
      </c>
      <c r="Y30" s="122">
        <f t="shared" si="14"/>
        <v>17.082343740267394</v>
      </c>
      <c r="Z30" s="122">
        <f t="shared" si="14"/>
        <v>17.082343740267394</v>
      </c>
      <c r="AA30" s="122">
        <f t="shared" si="14"/>
        <v>17.082343740267394</v>
      </c>
      <c r="AB30" s="122">
        <f t="shared" si="14"/>
        <v>17.082343740267394</v>
      </c>
      <c r="AC30" s="122">
        <f t="shared" si="14"/>
        <v>17.082343740267394</v>
      </c>
      <c r="AD30" s="122">
        <f t="shared" si="14"/>
        <v>17.082343740267394</v>
      </c>
      <c r="AE30" s="122">
        <f t="shared" si="14"/>
        <v>0</v>
      </c>
      <c r="AF30" s="122">
        <f t="shared" si="14"/>
        <v>0</v>
      </c>
    </row>
    <row r="31" spans="1:32" s="3" customFormat="1" ht="15">
      <c r="A31" s="294" t="s">
        <v>217</v>
      </c>
      <c r="B31" s="23"/>
      <c r="C31" s="122"/>
      <c r="D31" s="122"/>
      <c r="E31" s="122"/>
      <c r="F31" s="122"/>
      <c r="G31" s="122"/>
      <c r="H31" s="122"/>
      <c r="I31" s="122"/>
      <c r="J31" s="122"/>
      <c r="K31" s="122"/>
      <c r="L31" s="122">
        <f aca="true" t="shared" si="15" ref="L31:AF31">IF($K$16/$C$15*(L$5-$K$5)&gt;$K$16,0,$K$16/$C$15)</f>
        <v>18.27810780208611</v>
      </c>
      <c r="M31" s="122">
        <f t="shared" si="15"/>
        <v>18.27810780208611</v>
      </c>
      <c r="N31" s="122">
        <f t="shared" si="15"/>
        <v>18.27810780208611</v>
      </c>
      <c r="O31" s="122">
        <f t="shared" si="15"/>
        <v>18.27810780208611</v>
      </c>
      <c r="P31" s="122">
        <f t="shared" si="15"/>
        <v>18.27810780208611</v>
      </c>
      <c r="Q31" s="122">
        <f t="shared" si="15"/>
        <v>18.27810780208611</v>
      </c>
      <c r="R31" s="122">
        <f t="shared" si="15"/>
        <v>18.27810780208611</v>
      </c>
      <c r="S31" s="122">
        <f t="shared" si="15"/>
        <v>18.27810780208611</v>
      </c>
      <c r="T31" s="122">
        <f t="shared" si="15"/>
        <v>18.27810780208611</v>
      </c>
      <c r="U31" s="122">
        <f t="shared" si="15"/>
        <v>18.27810780208611</v>
      </c>
      <c r="V31" s="122">
        <f t="shared" si="15"/>
        <v>18.27810780208611</v>
      </c>
      <c r="W31" s="122">
        <f t="shared" si="15"/>
        <v>18.27810780208611</v>
      </c>
      <c r="X31" s="122">
        <f t="shared" si="15"/>
        <v>18.27810780208611</v>
      </c>
      <c r="Y31" s="122">
        <f t="shared" si="15"/>
        <v>18.27810780208611</v>
      </c>
      <c r="Z31" s="122">
        <f t="shared" si="15"/>
        <v>18.27810780208611</v>
      </c>
      <c r="AA31" s="122">
        <f t="shared" si="15"/>
        <v>18.27810780208611</v>
      </c>
      <c r="AB31" s="122">
        <f t="shared" si="15"/>
        <v>18.27810780208611</v>
      </c>
      <c r="AC31" s="122">
        <f t="shared" si="15"/>
        <v>18.27810780208611</v>
      </c>
      <c r="AD31" s="122">
        <f t="shared" si="15"/>
        <v>18.27810780208611</v>
      </c>
      <c r="AE31" s="122">
        <f t="shared" si="15"/>
        <v>18.27810780208611</v>
      </c>
      <c r="AF31" s="122">
        <f t="shared" si="15"/>
        <v>0</v>
      </c>
    </row>
    <row r="32" spans="1:32" s="3" customFormat="1" ht="18" customHeight="1">
      <c r="A32" s="294" t="s">
        <v>218</v>
      </c>
      <c r="B32" s="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>
        <f aca="true" t="shared" si="16" ref="M32:AF32">IF($L$16/$C$15*(M$5-$L$5)&gt;$L$16,0,$L$16/$C$15)</f>
        <v>19.55757534823214</v>
      </c>
      <c r="N32" s="122">
        <f t="shared" si="16"/>
        <v>19.55757534823214</v>
      </c>
      <c r="O32" s="122">
        <f t="shared" si="16"/>
        <v>19.55757534823214</v>
      </c>
      <c r="P32" s="122">
        <f t="shared" si="16"/>
        <v>19.55757534823214</v>
      </c>
      <c r="Q32" s="122">
        <f t="shared" si="16"/>
        <v>19.55757534823214</v>
      </c>
      <c r="R32" s="122">
        <f t="shared" si="16"/>
        <v>19.55757534823214</v>
      </c>
      <c r="S32" s="122">
        <f t="shared" si="16"/>
        <v>19.55757534823214</v>
      </c>
      <c r="T32" s="122">
        <f t="shared" si="16"/>
        <v>19.55757534823214</v>
      </c>
      <c r="U32" s="122">
        <f t="shared" si="16"/>
        <v>19.55757534823214</v>
      </c>
      <c r="V32" s="122">
        <f t="shared" si="16"/>
        <v>19.55757534823214</v>
      </c>
      <c r="W32" s="122">
        <f t="shared" si="16"/>
        <v>19.55757534823214</v>
      </c>
      <c r="X32" s="122">
        <f t="shared" si="16"/>
        <v>19.55757534823214</v>
      </c>
      <c r="Y32" s="122">
        <f t="shared" si="16"/>
        <v>19.55757534823214</v>
      </c>
      <c r="Z32" s="122">
        <f t="shared" si="16"/>
        <v>19.55757534823214</v>
      </c>
      <c r="AA32" s="122">
        <f t="shared" si="16"/>
        <v>19.55757534823214</v>
      </c>
      <c r="AB32" s="122">
        <f t="shared" si="16"/>
        <v>19.55757534823214</v>
      </c>
      <c r="AC32" s="122">
        <f t="shared" si="16"/>
        <v>19.55757534823214</v>
      </c>
      <c r="AD32" s="122">
        <f t="shared" si="16"/>
        <v>19.55757534823214</v>
      </c>
      <c r="AE32" s="122">
        <f t="shared" si="16"/>
        <v>19.55757534823214</v>
      </c>
      <c r="AF32" s="122">
        <f t="shared" si="16"/>
        <v>19.55757534823214</v>
      </c>
    </row>
    <row r="33" spans="1:32" s="238" customFormat="1" ht="15.75" customHeight="1">
      <c r="A33" s="295" t="s">
        <v>190</v>
      </c>
      <c r="B33" s="282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>
        <f aca="true" t="shared" si="17" ref="N33:AF33">IF($M$16/$C$15*(N$5-$M$5)&gt;$M$16,0,$M$16/$C$15)</f>
        <v>31.940608581875967</v>
      </c>
      <c r="O33" s="296">
        <f t="shared" si="17"/>
        <v>31.940608581875967</v>
      </c>
      <c r="P33" s="296">
        <f t="shared" si="17"/>
        <v>31.940608581875967</v>
      </c>
      <c r="Q33" s="296">
        <f t="shared" si="17"/>
        <v>31.940608581875967</v>
      </c>
      <c r="R33" s="296">
        <f t="shared" si="17"/>
        <v>31.940608581875967</v>
      </c>
      <c r="S33" s="296">
        <f t="shared" si="17"/>
        <v>31.940608581875967</v>
      </c>
      <c r="T33" s="296">
        <f t="shared" si="17"/>
        <v>31.940608581875967</v>
      </c>
      <c r="U33" s="296">
        <f t="shared" si="17"/>
        <v>31.940608581875967</v>
      </c>
      <c r="V33" s="296">
        <f t="shared" si="17"/>
        <v>31.940608581875967</v>
      </c>
      <c r="W33" s="296">
        <f t="shared" si="17"/>
        <v>31.940608581875967</v>
      </c>
      <c r="X33" s="296">
        <f t="shared" si="17"/>
        <v>31.940608581875967</v>
      </c>
      <c r="Y33" s="296">
        <f t="shared" si="17"/>
        <v>31.940608581875967</v>
      </c>
      <c r="Z33" s="296">
        <f t="shared" si="17"/>
        <v>31.940608581875967</v>
      </c>
      <c r="AA33" s="296">
        <f t="shared" si="17"/>
        <v>31.940608581875967</v>
      </c>
      <c r="AB33" s="296">
        <f t="shared" si="17"/>
        <v>31.940608581875967</v>
      </c>
      <c r="AC33" s="296">
        <f t="shared" si="17"/>
        <v>31.940608581875967</v>
      </c>
      <c r="AD33" s="296">
        <f t="shared" si="17"/>
        <v>31.940608581875967</v>
      </c>
      <c r="AE33" s="296">
        <f t="shared" si="17"/>
        <v>31.940608581875967</v>
      </c>
      <c r="AF33" s="296">
        <f t="shared" si="17"/>
        <v>31.940608581875967</v>
      </c>
    </row>
    <row r="34" spans="1:32" s="238" customFormat="1" ht="15.75" customHeight="1">
      <c r="A34" s="295" t="s">
        <v>191</v>
      </c>
      <c r="B34" s="282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>
        <f aca="true" t="shared" si="18" ref="O34:AF34">IF($N$16/$C$15*(O$5-$N$5)&gt;$N$16,0,$N$16/$C$15)</f>
        <v>45.96143434902359</v>
      </c>
      <c r="P34" s="296">
        <f t="shared" si="18"/>
        <v>45.96143434902359</v>
      </c>
      <c r="Q34" s="296">
        <f t="shared" si="18"/>
        <v>45.96143434902359</v>
      </c>
      <c r="R34" s="296">
        <f t="shared" si="18"/>
        <v>45.96143434902359</v>
      </c>
      <c r="S34" s="296">
        <f t="shared" si="18"/>
        <v>45.96143434902359</v>
      </c>
      <c r="T34" s="296">
        <f t="shared" si="18"/>
        <v>45.96143434902359</v>
      </c>
      <c r="U34" s="296">
        <f t="shared" si="18"/>
        <v>45.96143434902359</v>
      </c>
      <c r="V34" s="296">
        <f t="shared" si="18"/>
        <v>45.96143434902359</v>
      </c>
      <c r="W34" s="296">
        <f t="shared" si="18"/>
        <v>45.96143434902359</v>
      </c>
      <c r="X34" s="296">
        <f t="shared" si="18"/>
        <v>45.96143434902359</v>
      </c>
      <c r="Y34" s="296">
        <f t="shared" si="18"/>
        <v>45.96143434902359</v>
      </c>
      <c r="Z34" s="296">
        <f t="shared" si="18"/>
        <v>45.96143434902359</v>
      </c>
      <c r="AA34" s="296">
        <f t="shared" si="18"/>
        <v>45.96143434902359</v>
      </c>
      <c r="AB34" s="296">
        <f t="shared" si="18"/>
        <v>45.96143434902359</v>
      </c>
      <c r="AC34" s="296">
        <f t="shared" si="18"/>
        <v>45.96143434902359</v>
      </c>
      <c r="AD34" s="296">
        <f t="shared" si="18"/>
        <v>45.96143434902359</v>
      </c>
      <c r="AE34" s="296">
        <f t="shared" si="18"/>
        <v>45.96143434902359</v>
      </c>
      <c r="AF34" s="296">
        <f t="shared" si="18"/>
        <v>45.96143434902359</v>
      </c>
    </row>
    <row r="35" spans="1:32" s="238" customFormat="1" ht="15.75" customHeight="1">
      <c r="A35" s="295" t="s">
        <v>192</v>
      </c>
      <c r="B35" s="282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>
        <f aca="true" t="shared" si="19" ref="P35:AF35">IF($O$16/$C$15*(P$5-$O$5)&gt;$O$16,0,$O$16/$C$15)</f>
        <v>61.78866674152069</v>
      </c>
      <c r="Q35" s="296">
        <f t="shared" si="19"/>
        <v>61.78866674152069</v>
      </c>
      <c r="R35" s="296">
        <f t="shared" si="19"/>
        <v>61.78866674152069</v>
      </c>
      <c r="S35" s="296">
        <f t="shared" si="19"/>
        <v>61.78866674152069</v>
      </c>
      <c r="T35" s="296">
        <f t="shared" si="19"/>
        <v>61.78866674152069</v>
      </c>
      <c r="U35" s="296">
        <f t="shared" si="19"/>
        <v>61.78866674152069</v>
      </c>
      <c r="V35" s="296">
        <f t="shared" si="19"/>
        <v>61.78866674152069</v>
      </c>
      <c r="W35" s="296">
        <f t="shared" si="19"/>
        <v>61.78866674152069</v>
      </c>
      <c r="X35" s="296">
        <f t="shared" si="19"/>
        <v>61.78866674152069</v>
      </c>
      <c r="Y35" s="296">
        <f t="shared" si="19"/>
        <v>61.78866674152069</v>
      </c>
      <c r="Z35" s="296">
        <f t="shared" si="19"/>
        <v>61.78866674152069</v>
      </c>
      <c r="AA35" s="296">
        <f t="shared" si="19"/>
        <v>61.78866674152069</v>
      </c>
      <c r="AB35" s="296">
        <f t="shared" si="19"/>
        <v>61.78866674152069</v>
      </c>
      <c r="AC35" s="296">
        <f t="shared" si="19"/>
        <v>61.78866674152069</v>
      </c>
      <c r="AD35" s="296">
        <f t="shared" si="19"/>
        <v>61.78866674152069</v>
      </c>
      <c r="AE35" s="296">
        <f t="shared" si="19"/>
        <v>61.78866674152069</v>
      </c>
      <c r="AF35" s="296">
        <f t="shared" si="19"/>
        <v>61.78866674152069</v>
      </c>
    </row>
    <row r="36" spans="1:32" s="238" customFormat="1" ht="15.75" customHeight="1">
      <c r="A36" s="295" t="s">
        <v>193</v>
      </c>
      <c r="B36" s="282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>
        <f aca="true" t="shared" si="20" ref="Q36:AF36">IF($P$16/$C$15*(Q$5-$P$5)&gt;$P$16,0,$P$16/$C$15)</f>
        <v>79.60650064065717</v>
      </c>
      <c r="R36" s="296">
        <f t="shared" si="20"/>
        <v>79.60650064065717</v>
      </c>
      <c r="S36" s="296">
        <f t="shared" si="20"/>
        <v>79.60650064065717</v>
      </c>
      <c r="T36" s="296">
        <f t="shared" si="20"/>
        <v>79.60650064065717</v>
      </c>
      <c r="U36" s="296">
        <f t="shared" si="20"/>
        <v>79.60650064065717</v>
      </c>
      <c r="V36" s="296">
        <f t="shared" si="20"/>
        <v>79.60650064065717</v>
      </c>
      <c r="W36" s="296">
        <f t="shared" si="20"/>
        <v>79.60650064065717</v>
      </c>
      <c r="X36" s="296">
        <f t="shared" si="20"/>
        <v>79.60650064065717</v>
      </c>
      <c r="Y36" s="296">
        <f t="shared" si="20"/>
        <v>79.60650064065717</v>
      </c>
      <c r="Z36" s="296">
        <f t="shared" si="20"/>
        <v>79.60650064065717</v>
      </c>
      <c r="AA36" s="296">
        <f t="shared" si="20"/>
        <v>79.60650064065717</v>
      </c>
      <c r="AB36" s="296">
        <f t="shared" si="20"/>
        <v>79.60650064065717</v>
      </c>
      <c r="AC36" s="296">
        <f t="shared" si="20"/>
        <v>79.60650064065717</v>
      </c>
      <c r="AD36" s="296">
        <f t="shared" si="20"/>
        <v>79.60650064065717</v>
      </c>
      <c r="AE36" s="296">
        <f t="shared" si="20"/>
        <v>79.60650064065717</v>
      </c>
      <c r="AF36" s="296">
        <f t="shared" si="20"/>
        <v>79.60650064065717</v>
      </c>
    </row>
    <row r="37" spans="1:32" s="238" customFormat="1" ht="15.75" customHeight="1">
      <c r="A37" s="295" t="s">
        <v>194</v>
      </c>
      <c r="B37" s="282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>
        <f aca="true" t="shared" si="21" ref="R37:AF37">IF($Q$16/$C$15*(R$5-$Q$5)&gt;$Q$16,0,$Q$16/$C$15)</f>
        <v>99.61606681863933</v>
      </c>
      <c r="S37" s="296">
        <f t="shared" si="21"/>
        <v>99.61606681863933</v>
      </c>
      <c r="T37" s="296">
        <f t="shared" si="21"/>
        <v>99.61606681863933</v>
      </c>
      <c r="U37" s="296">
        <f t="shared" si="21"/>
        <v>99.61606681863933</v>
      </c>
      <c r="V37" s="296">
        <f t="shared" si="21"/>
        <v>99.61606681863933</v>
      </c>
      <c r="W37" s="296">
        <f t="shared" si="21"/>
        <v>99.61606681863933</v>
      </c>
      <c r="X37" s="296">
        <f t="shared" si="21"/>
        <v>99.61606681863933</v>
      </c>
      <c r="Y37" s="296">
        <f t="shared" si="21"/>
        <v>99.61606681863933</v>
      </c>
      <c r="Z37" s="296">
        <f t="shared" si="21"/>
        <v>99.61606681863933</v>
      </c>
      <c r="AA37" s="296">
        <f t="shared" si="21"/>
        <v>99.61606681863933</v>
      </c>
      <c r="AB37" s="296">
        <f t="shared" si="21"/>
        <v>99.61606681863933</v>
      </c>
      <c r="AC37" s="296">
        <f t="shared" si="21"/>
        <v>99.61606681863933</v>
      </c>
      <c r="AD37" s="296">
        <f t="shared" si="21"/>
        <v>99.61606681863933</v>
      </c>
      <c r="AE37" s="296">
        <f t="shared" si="21"/>
        <v>99.61606681863933</v>
      </c>
      <c r="AF37" s="296">
        <f t="shared" si="21"/>
        <v>99.61606681863933</v>
      </c>
    </row>
    <row r="38" spans="1:32" s="238" customFormat="1" ht="15.75" customHeight="1">
      <c r="A38" s="295" t="s">
        <v>195</v>
      </c>
      <c r="B38" s="282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>
        <f aca="true" t="shared" si="22" ref="S38:AF38">IF($R$16/$C$15*(S$5-$R$5)&gt;$R$16,0,$R$16/$C$15)</f>
        <v>122.03690040839975</v>
      </c>
      <c r="T38" s="296">
        <f t="shared" si="22"/>
        <v>122.03690040839975</v>
      </c>
      <c r="U38" s="296">
        <f t="shared" si="22"/>
        <v>122.03690040839975</v>
      </c>
      <c r="V38" s="296">
        <f t="shared" si="22"/>
        <v>122.03690040839975</v>
      </c>
      <c r="W38" s="296">
        <f t="shared" si="22"/>
        <v>122.03690040839975</v>
      </c>
      <c r="X38" s="296">
        <f t="shared" si="22"/>
        <v>122.03690040839975</v>
      </c>
      <c r="Y38" s="296">
        <f t="shared" si="22"/>
        <v>122.03690040839975</v>
      </c>
      <c r="Z38" s="296">
        <f t="shared" si="22"/>
        <v>122.03690040839975</v>
      </c>
      <c r="AA38" s="296">
        <f t="shared" si="22"/>
        <v>122.03690040839975</v>
      </c>
      <c r="AB38" s="296">
        <f t="shared" si="22"/>
        <v>122.03690040839975</v>
      </c>
      <c r="AC38" s="296">
        <f t="shared" si="22"/>
        <v>122.03690040839975</v>
      </c>
      <c r="AD38" s="296">
        <f t="shared" si="22"/>
        <v>122.03690040839975</v>
      </c>
      <c r="AE38" s="296">
        <f t="shared" si="22"/>
        <v>122.03690040839975</v>
      </c>
      <c r="AF38" s="296">
        <f t="shared" si="22"/>
        <v>122.03690040839975</v>
      </c>
    </row>
    <row r="39" spans="1:32" s="238" customFormat="1" ht="15.75" customHeight="1">
      <c r="A39" s="295" t="s">
        <v>196</v>
      </c>
      <c r="B39" s="282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>
        <f aca="true" t="shared" si="23" ref="T39:AF39">IF($S$16/$C$15*(T$5-$S$5)&gt;$S$16,0,$S$16/$C$15)</f>
        <v>147.1085319733153</v>
      </c>
      <c r="U39" s="296">
        <f t="shared" si="23"/>
        <v>147.1085319733153</v>
      </c>
      <c r="V39" s="296">
        <f t="shared" si="23"/>
        <v>147.1085319733153</v>
      </c>
      <c r="W39" s="296">
        <f t="shared" si="23"/>
        <v>147.1085319733153</v>
      </c>
      <c r="X39" s="296">
        <f t="shared" si="23"/>
        <v>147.1085319733153</v>
      </c>
      <c r="Y39" s="296">
        <f t="shared" si="23"/>
        <v>147.1085319733153</v>
      </c>
      <c r="Z39" s="296">
        <f t="shared" si="23"/>
        <v>147.1085319733153</v>
      </c>
      <c r="AA39" s="296">
        <f t="shared" si="23"/>
        <v>147.1085319733153</v>
      </c>
      <c r="AB39" s="296">
        <f t="shared" si="23"/>
        <v>147.1085319733153</v>
      </c>
      <c r="AC39" s="296">
        <f t="shared" si="23"/>
        <v>147.1085319733153</v>
      </c>
      <c r="AD39" s="296">
        <f t="shared" si="23"/>
        <v>147.1085319733153</v>
      </c>
      <c r="AE39" s="296">
        <f t="shared" si="23"/>
        <v>147.1085319733153</v>
      </c>
      <c r="AF39" s="296">
        <f t="shared" si="23"/>
        <v>147.1085319733153</v>
      </c>
    </row>
    <row r="40" spans="1:32" s="238" customFormat="1" ht="15.75" customHeight="1">
      <c r="A40" s="295" t="s">
        <v>197</v>
      </c>
      <c r="B40" s="282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>
        <f aca="true" t="shared" si="24" ref="U40:AF40">IF($T$16/$C$15*(U$5-$T$5)&gt;$T$16,0,$T$16/$C$15)</f>
        <v>175.0922111453179</v>
      </c>
      <c r="V40" s="296">
        <f t="shared" si="24"/>
        <v>175.0922111453179</v>
      </c>
      <c r="W40" s="296">
        <f t="shared" si="24"/>
        <v>175.0922111453179</v>
      </c>
      <c r="X40" s="296">
        <f t="shared" si="24"/>
        <v>175.0922111453179</v>
      </c>
      <c r="Y40" s="296">
        <f t="shared" si="24"/>
        <v>175.0922111453179</v>
      </c>
      <c r="Z40" s="296">
        <f t="shared" si="24"/>
        <v>175.0922111453179</v>
      </c>
      <c r="AA40" s="296">
        <f t="shared" si="24"/>
        <v>175.0922111453179</v>
      </c>
      <c r="AB40" s="296">
        <f t="shared" si="24"/>
        <v>175.0922111453179</v>
      </c>
      <c r="AC40" s="296">
        <f t="shared" si="24"/>
        <v>175.0922111453179</v>
      </c>
      <c r="AD40" s="296">
        <f t="shared" si="24"/>
        <v>175.0922111453179</v>
      </c>
      <c r="AE40" s="296">
        <f t="shared" si="24"/>
        <v>175.0922111453179</v>
      </c>
      <c r="AF40" s="296">
        <f t="shared" si="24"/>
        <v>175.0922111453179</v>
      </c>
    </row>
    <row r="41" spans="1:32" s="238" customFormat="1" ht="15.75" customHeight="1">
      <c r="A41" s="295" t="s">
        <v>198</v>
      </c>
      <c r="B41" s="282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>
        <f aca="true" t="shared" si="25" ref="V41:AF41">IF($U$16/$C$15*(V$5-$U$5)&gt;$U$16,0,$U$16/$C$15)</f>
        <v>206.27277359473155</v>
      </c>
      <c r="W41" s="296">
        <f t="shared" si="25"/>
        <v>206.27277359473155</v>
      </c>
      <c r="X41" s="296">
        <f t="shared" si="25"/>
        <v>206.27277359473155</v>
      </c>
      <c r="Y41" s="296">
        <f t="shared" si="25"/>
        <v>206.27277359473155</v>
      </c>
      <c r="Z41" s="296">
        <f t="shared" si="25"/>
        <v>206.27277359473155</v>
      </c>
      <c r="AA41" s="296">
        <f t="shared" si="25"/>
        <v>206.27277359473155</v>
      </c>
      <c r="AB41" s="296">
        <f t="shared" si="25"/>
        <v>206.27277359473155</v>
      </c>
      <c r="AC41" s="296">
        <f t="shared" si="25"/>
        <v>206.27277359473155</v>
      </c>
      <c r="AD41" s="296">
        <f t="shared" si="25"/>
        <v>206.27277359473155</v>
      </c>
      <c r="AE41" s="296">
        <f t="shared" si="25"/>
        <v>206.27277359473155</v>
      </c>
      <c r="AF41" s="296">
        <f t="shared" si="25"/>
        <v>206.27277359473155</v>
      </c>
    </row>
    <row r="42" spans="1:32" s="238" customFormat="1" ht="15.75" customHeight="1">
      <c r="A42" s="295" t="s">
        <v>199</v>
      </c>
      <c r="B42" s="282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>
        <f aca="true" t="shared" si="26" ref="W42:AF42">IF($V$16/$C$15*(W$5-$V$5)&gt;$V$16,0,$V$16/$C$15)</f>
        <v>240.9606629524511</v>
      </c>
      <c r="X42" s="296">
        <f t="shared" si="26"/>
        <v>240.9606629524511</v>
      </c>
      <c r="Y42" s="296">
        <f t="shared" si="26"/>
        <v>240.9606629524511</v>
      </c>
      <c r="Z42" s="296">
        <f t="shared" si="26"/>
        <v>240.9606629524511</v>
      </c>
      <c r="AA42" s="296">
        <f t="shared" si="26"/>
        <v>240.9606629524511</v>
      </c>
      <c r="AB42" s="296">
        <f t="shared" si="26"/>
        <v>240.9606629524511</v>
      </c>
      <c r="AC42" s="296">
        <f t="shared" si="26"/>
        <v>240.9606629524511</v>
      </c>
      <c r="AD42" s="296">
        <f t="shared" si="26"/>
        <v>240.9606629524511</v>
      </c>
      <c r="AE42" s="296">
        <f t="shared" si="26"/>
        <v>240.9606629524511</v>
      </c>
      <c r="AF42" s="296">
        <f t="shared" si="26"/>
        <v>240.9606629524511</v>
      </c>
    </row>
    <row r="43" spans="1:32" s="238" customFormat="1" ht="15.75" customHeight="1">
      <c r="A43" s="295" t="s">
        <v>200</v>
      </c>
      <c r="B43" s="282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>
        <f aca="true" t="shared" si="27" ref="X43:AF43">IF($W$16/$C$15*(X$5-$W$5)&gt;$W$16,0,$W$16/$C$15)</f>
        <v>279.4941202296372</v>
      </c>
      <c r="Y43" s="296">
        <f t="shared" si="27"/>
        <v>279.4941202296372</v>
      </c>
      <c r="Z43" s="296">
        <f t="shared" si="27"/>
        <v>279.4941202296372</v>
      </c>
      <c r="AA43" s="296">
        <f t="shared" si="27"/>
        <v>279.4941202296372</v>
      </c>
      <c r="AB43" s="296">
        <f t="shared" si="27"/>
        <v>279.4941202296372</v>
      </c>
      <c r="AC43" s="296">
        <f t="shared" si="27"/>
        <v>279.4941202296372</v>
      </c>
      <c r="AD43" s="296">
        <f t="shared" si="27"/>
        <v>279.4941202296372</v>
      </c>
      <c r="AE43" s="296">
        <f t="shared" si="27"/>
        <v>279.4941202296372</v>
      </c>
      <c r="AF43" s="296">
        <f t="shared" si="27"/>
        <v>279.4941202296372</v>
      </c>
    </row>
    <row r="44" spans="1:32" s="238" customFormat="1" ht="15.75" customHeight="1">
      <c r="A44" s="295" t="s">
        <v>201</v>
      </c>
      <c r="B44" s="282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>
        <f aca="true" t="shared" si="28" ref="Y44:AF44">IF($X$16/$C$15*(Y$5-$X$5)&gt;$X$16,0,$X$16/$C$15)</f>
        <v>322.2415542771623</v>
      </c>
      <c r="Z44" s="296">
        <f t="shared" si="28"/>
        <v>322.2415542771623</v>
      </c>
      <c r="AA44" s="296">
        <f t="shared" si="28"/>
        <v>322.2415542771623</v>
      </c>
      <c r="AB44" s="296">
        <f t="shared" si="28"/>
        <v>322.2415542771623</v>
      </c>
      <c r="AC44" s="296">
        <f t="shared" si="28"/>
        <v>322.2415542771623</v>
      </c>
      <c r="AD44" s="296">
        <f t="shared" si="28"/>
        <v>322.2415542771623</v>
      </c>
      <c r="AE44" s="296">
        <f t="shared" si="28"/>
        <v>322.2415542771623</v>
      </c>
      <c r="AF44" s="296">
        <f t="shared" si="28"/>
        <v>322.2415542771623</v>
      </c>
    </row>
    <row r="45" spans="1:32" s="238" customFormat="1" ht="15.75" customHeight="1">
      <c r="A45" s="295" t="s">
        <v>202</v>
      </c>
      <c r="B45" s="282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>
        <f aca="true" t="shared" si="29" ref="Z45:AF45">IF($Y$16/$C$15*(Z$5-$Y$5)&gt;$Y$16,0,$Y$16/$C$15)</f>
        <v>369.60410790221573</v>
      </c>
      <c r="AA45" s="296">
        <f t="shared" si="29"/>
        <v>369.60410790221573</v>
      </c>
      <c r="AB45" s="296">
        <f t="shared" si="29"/>
        <v>369.60410790221573</v>
      </c>
      <c r="AC45" s="296">
        <f t="shared" si="29"/>
        <v>369.60410790221573</v>
      </c>
      <c r="AD45" s="296">
        <f t="shared" si="29"/>
        <v>369.60410790221573</v>
      </c>
      <c r="AE45" s="296">
        <f t="shared" si="29"/>
        <v>369.60410790221573</v>
      </c>
      <c r="AF45" s="296">
        <f t="shared" si="29"/>
        <v>369.60410790221573</v>
      </c>
    </row>
    <row r="46" spans="1:32" s="238" customFormat="1" ht="15.75" customHeight="1">
      <c r="A46" s="295" t="s">
        <v>203</v>
      </c>
      <c r="B46" s="282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>
        <f aca="true" t="shared" si="30" ref="AA46:AF46">IF($Z$16/$C$15*(AA$5-$Z$5)&gt;$Z$16,0,$Z$16/$C$15)</f>
        <v>422.0184354188186</v>
      </c>
      <c r="AB46" s="296">
        <f t="shared" si="30"/>
        <v>422.0184354188186</v>
      </c>
      <c r="AC46" s="296">
        <f t="shared" si="30"/>
        <v>422.0184354188186</v>
      </c>
      <c r="AD46" s="296">
        <f t="shared" si="30"/>
        <v>422.0184354188186</v>
      </c>
      <c r="AE46" s="296">
        <f t="shared" si="30"/>
        <v>422.0184354188186</v>
      </c>
      <c r="AF46" s="296">
        <f t="shared" si="30"/>
        <v>422.0184354188186</v>
      </c>
    </row>
    <row r="47" spans="1:32" s="238" customFormat="1" ht="15.75" customHeight="1">
      <c r="A47" s="295" t="s">
        <v>204</v>
      </c>
      <c r="B47" s="282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>
        <f>IF($AA$16/$C$15*(AB$5-$AA$5)&gt;$AA$16,0,$AA$16/$C$15)</f>
        <v>479.959708659025</v>
      </c>
      <c r="AC47" s="296">
        <f>IF($AA$16/$C$15*(AC$5-$AA$5)&gt;$AA$16,0,$AA$16/$C$15)</f>
        <v>479.959708659025</v>
      </c>
      <c r="AD47" s="296">
        <f>IF($AA$16/$C$15*(AD$5-$AA$5)&gt;$AA$16,0,$AA$16/$C$15)</f>
        <v>479.959708659025</v>
      </c>
      <c r="AE47" s="296">
        <f>IF($AA$16/$C$15*(AE$5-$AA$5)&gt;$AA$16,0,$AA$16/$C$15)</f>
        <v>479.959708659025</v>
      </c>
      <c r="AF47" s="296">
        <f>IF($AA$16/$C$15*(AF$5-$AA$5)&gt;$AA$16,0,$AA$16/$C$15)</f>
        <v>479.959708659025</v>
      </c>
    </row>
    <row r="48" spans="1:32" s="238" customFormat="1" ht="15.75" customHeight="1">
      <c r="A48" s="295" t="s">
        <v>205</v>
      </c>
      <c r="B48" s="282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>
        <f>IF($AB$16/$C$15*(AC$5-$AB$5)&gt;$AB$16,0,$AB$16/$C$15)</f>
        <v>543.944869819308</v>
      </c>
      <c r="AD48" s="296">
        <f>IF($AB$16/$C$15*(AD$5-$AB$5)&gt;$AB$16,0,$AB$16/$C$15)</f>
        <v>543.944869819308</v>
      </c>
      <c r="AE48" s="296">
        <f>IF($AB$16/$C$15*(AE$5-$AB$5)&gt;$AB$16,0,$AB$16/$C$15)</f>
        <v>543.944869819308</v>
      </c>
      <c r="AF48" s="296">
        <f>IF($AB$16/$C$15*(AF$5-$AB$5)&gt;$AB$16,0,$AB$16/$C$15)</f>
        <v>543.944869819308</v>
      </c>
    </row>
    <row r="49" spans="1:32" s="238" customFormat="1" ht="15.75" customHeight="1">
      <c r="A49" s="295" t="s">
        <v>206</v>
      </c>
      <c r="B49" s="282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>
        <f>IF($AC$16/$C$15*(AD$5-$AC$5)&gt;$AC$16,0,$AC$16/$C$15)</f>
        <v>614.5361509696015</v>
      </c>
      <c r="AE49" s="296">
        <f>IF($AC$16/$C$15*(AE$5-$AC$5)&gt;$AC$16,0,$AC$16/$C$15)</f>
        <v>614.5361509696015</v>
      </c>
      <c r="AF49" s="296">
        <f>IF($AC$16/$C$15*(AF$5-$AC$5)&gt;$AC$16,0,$AC$16/$C$15)</f>
        <v>614.5361509696015</v>
      </c>
    </row>
    <row r="50" spans="1:32" s="238" customFormat="1" ht="15.75" customHeight="1">
      <c r="A50" s="295" t="s">
        <v>207</v>
      </c>
      <c r="B50" s="282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>
        <f>IF($AD$16/$C$15*(AE$5-$AD$5)&gt;$AD$16,0,$AD$16/$C$15)</f>
        <v>692.3448816188214</v>
      </c>
      <c r="AF50" s="296">
        <f>IF($AD$16/$C$15*(AF$5-$AD$5)&gt;$AD$16,0,$AD$16/$C$15)</f>
        <v>692.3448816188214</v>
      </c>
    </row>
    <row r="51" spans="1:32" s="238" customFormat="1" ht="15.75" customHeight="1">
      <c r="A51" s="295" t="s">
        <v>208</v>
      </c>
      <c r="B51" s="282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>
        <f>IF($AE$16/$C$15*(AF$5-$AE$5)&gt;$AE$16,0,$AE$16/$C$15)</f>
        <v>778.0356074191811</v>
      </c>
    </row>
    <row r="52" spans="1:32" s="293" customFormat="1" ht="15">
      <c r="A52" s="297" t="s">
        <v>37</v>
      </c>
      <c r="B52" s="298"/>
      <c r="C52" s="299">
        <f>SUM(C23:C51)</f>
        <v>0</v>
      </c>
      <c r="D52" s="299">
        <f aca="true" t="shared" si="31" ref="D52:AF52">SUM(D23:D51)</f>
        <v>10.450000000000001</v>
      </c>
      <c r="E52" s="299">
        <f t="shared" si="31"/>
        <v>22.049500000000002</v>
      </c>
      <c r="F52" s="299">
        <f t="shared" si="31"/>
        <v>34.228975000000005</v>
      </c>
      <c r="G52" s="299">
        <f t="shared" si="31"/>
        <v>47.26101325000001</v>
      </c>
      <c r="H52" s="299">
        <f t="shared" si="31"/>
        <v>61.20529417750002</v>
      </c>
      <c r="I52" s="299">
        <f t="shared" si="31"/>
        <v>76.12567476992503</v>
      </c>
      <c r="J52" s="299">
        <f t="shared" si="31"/>
        <v>92.09048200381979</v>
      </c>
      <c r="K52" s="299">
        <f t="shared" si="31"/>
        <v>109.17282574408718</v>
      </c>
      <c r="L52" s="299">
        <f t="shared" si="31"/>
        <v>127.45093354617329</v>
      </c>
      <c r="M52" s="299">
        <f t="shared" si="31"/>
        <v>147.00850889440542</v>
      </c>
      <c r="N52" s="299">
        <f t="shared" si="31"/>
        <v>178.9491174762814</v>
      </c>
      <c r="O52" s="299">
        <f>SUM(O23:O51)</f>
        <v>224.910551825305</v>
      </c>
      <c r="P52" s="299">
        <f t="shared" si="31"/>
        <v>286.69921856682566</v>
      </c>
      <c r="Q52" s="299">
        <f t="shared" si="31"/>
        <v>366.30571920748287</v>
      </c>
      <c r="R52" s="299">
        <f t="shared" si="31"/>
        <v>465.92178602612216</v>
      </c>
      <c r="S52" s="299">
        <f t="shared" si="31"/>
        <v>587.958686434522</v>
      </c>
      <c r="T52" s="299">
        <f t="shared" si="31"/>
        <v>735.0672184078372</v>
      </c>
      <c r="U52" s="299">
        <f t="shared" si="31"/>
        <v>910.1594295531552</v>
      </c>
      <c r="V52" s="299">
        <f t="shared" si="31"/>
        <v>1116.4322031478866</v>
      </c>
      <c r="W52" s="299">
        <f t="shared" si="31"/>
        <v>1357.3928661003376</v>
      </c>
      <c r="X52" s="299">
        <f t="shared" si="31"/>
        <v>1626.4369863299748</v>
      </c>
      <c r="Y52" s="299">
        <f t="shared" si="31"/>
        <v>1937.0790406071371</v>
      </c>
      <c r="Z52" s="299">
        <f t="shared" si="31"/>
        <v>2294.503673509353</v>
      </c>
      <c r="AA52" s="299">
        <f t="shared" si="31"/>
        <v>2703.4900706781714</v>
      </c>
      <c r="AB52" s="299">
        <f t="shared" si="31"/>
        <v>3169.505498409697</v>
      </c>
      <c r="AC52" s="299">
        <f t="shared" si="31"/>
        <v>3698.52998763658</v>
      </c>
      <c r="AD52" s="299">
        <f t="shared" si="31"/>
        <v>4297.101331372286</v>
      </c>
      <c r="AE52" s="299">
        <f t="shared" si="31"/>
        <v>4972.36386925084</v>
      </c>
      <c r="AF52" s="299">
        <f t="shared" si="31"/>
        <v>5732.121368867935</v>
      </c>
    </row>
    <row r="53" spans="1:32" s="3" customFormat="1" ht="15">
      <c r="A53" s="7" t="s">
        <v>21</v>
      </c>
      <c r="B53" s="45"/>
      <c r="C53" s="141">
        <f>'конкурсные предложения'!B7</f>
        <v>0.05</v>
      </c>
      <c r="D53" s="139">
        <f aca="true" t="shared" si="32" ref="D53:AF53">C53</f>
        <v>0.05</v>
      </c>
      <c r="E53" s="139">
        <f t="shared" si="32"/>
        <v>0.05</v>
      </c>
      <c r="F53" s="139">
        <f t="shared" si="32"/>
        <v>0.05</v>
      </c>
      <c r="G53" s="139">
        <f t="shared" si="32"/>
        <v>0.05</v>
      </c>
      <c r="H53" s="139">
        <f t="shared" si="32"/>
        <v>0.05</v>
      </c>
      <c r="I53" s="139">
        <f t="shared" si="32"/>
        <v>0.05</v>
      </c>
      <c r="J53" s="139">
        <f t="shared" si="32"/>
        <v>0.05</v>
      </c>
      <c r="K53" s="139">
        <f t="shared" si="32"/>
        <v>0.05</v>
      </c>
      <c r="L53" s="139">
        <f t="shared" si="32"/>
        <v>0.05</v>
      </c>
      <c r="M53" s="139">
        <f t="shared" si="32"/>
        <v>0.05</v>
      </c>
      <c r="N53" s="139">
        <f t="shared" si="32"/>
        <v>0.05</v>
      </c>
      <c r="O53" s="139">
        <f t="shared" si="32"/>
        <v>0.05</v>
      </c>
      <c r="P53" s="139">
        <f t="shared" si="32"/>
        <v>0.05</v>
      </c>
      <c r="Q53" s="139">
        <f t="shared" si="32"/>
        <v>0.05</v>
      </c>
      <c r="R53" s="139">
        <f t="shared" si="32"/>
        <v>0.05</v>
      </c>
      <c r="S53" s="139">
        <f t="shared" si="32"/>
        <v>0.05</v>
      </c>
      <c r="T53" s="139">
        <f t="shared" si="32"/>
        <v>0.05</v>
      </c>
      <c r="U53" s="139">
        <f t="shared" si="32"/>
        <v>0.05</v>
      </c>
      <c r="V53" s="139">
        <f t="shared" si="32"/>
        <v>0.05</v>
      </c>
      <c r="W53" s="139">
        <f t="shared" si="32"/>
        <v>0.05</v>
      </c>
      <c r="X53" s="139">
        <f t="shared" si="32"/>
        <v>0.05</v>
      </c>
      <c r="Y53" s="139">
        <f t="shared" si="32"/>
        <v>0.05</v>
      </c>
      <c r="Z53" s="139">
        <f t="shared" si="32"/>
        <v>0.05</v>
      </c>
      <c r="AA53" s="139">
        <f t="shared" si="32"/>
        <v>0.05</v>
      </c>
      <c r="AB53" s="139">
        <f t="shared" si="32"/>
        <v>0.05</v>
      </c>
      <c r="AC53" s="139">
        <f t="shared" si="32"/>
        <v>0.05</v>
      </c>
      <c r="AD53" s="139">
        <f t="shared" si="32"/>
        <v>0.05</v>
      </c>
      <c r="AE53" s="139">
        <f t="shared" si="32"/>
        <v>0.05</v>
      </c>
      <c r="AF53" s="139">
        <f t="shared" si="32"/>
        <v>0.05</v>
      </c>
    </row>
    <row r="54" spans="1:32" s="3" customFormat="1" ht="20.25" customHeight="1">
      <c r="A54" s="7" t="s">
        <v>3</v>
      </c>
      <c r="B54" s="23"/>
      <c r="C54" s="86">
        <f>C53*'конкурсная документация'!B46</f>
        <v>25</v>
      </c>
      <c r="D54" s="89">
        <f aca="true" t="shared" si="33" ref="D54:AF54">D53*C90</f>
        <v>42.014773255813964</v>
      </c>
      <c r="E54" s="89">
        <f t="shared" si="33"/>
        <v>46.808233690607466</v>
      </c>
      <c r="F54" s="89">
        <f t="shared" si="33"/>
        <v>51.1135155060447</v>
      </c>
      <c r="G54" s="89">
        <f t="shared" si="33"/>
        <v>55.51081209361791</v>
      </c>
      <c r="H54" s="89">
        <f t="shared" si="33"/>
        <v>60.19152862106786</v>
      </c>
      <c r="I54" s="89">
        <f t="shared" si="33"/>
        <v>65.05860951700356</v>
      </c>
      <c r="J54" s="89">
        <f t="shared" si="33"/>
        <v>70.12371703142111</v>
      </c>
      <c r="K54" s="89">
        <f t="shared" si="33"/>
        <v>75.4006250454299</v>
      </c>
      <c r="L54" s="89">
        <f t="shared" si="33"/>
        <v>80.95124976370761</v>
      </c>
      <c r="M54" s="89">
        <f t="shared" si="33"/>
        <v>86.70035857532024</v>
      </c>
      <c r="N54" s="89">
        <f t="shared" si="33"/>
        <v>92.8294935603627</v>
      </c>
      <c r="O54" s="89">
        <f t="shared" si="33"/>
        <v>102.52551888819974</v>
      </c>
      <c r="P54" s="89">
        <f t="shared" si="33"/>
        <v>116.1667424324059</v>
      </c>
      <c r="Q54" s="89">
        <f t="shared" si="33"/>
        <v>134.18326974411272</v>
      </c>
      <c r="R54" s="89">
        <f t="shared" si="33"/>
        <v>156.84196919251838</v>
      </c>
      <c r="S54" s="89">
        <f t="shared" si="33"/>
        <v>184.63277578956775</v>
      </c>
      <c r="T54" s="89">
        <f t="shared" si="33"/>
        <v>218.02229856647696</v>
      </c>
      <c r="U54" s="89">
        <f t="shared" si="33"/>
        <v>257.5165473581473</v>
      </c>
      <c r="V54" s="89">
        <f t="shared" si="33"/>
        <v>301.86449615051794</v>
      </c>
      <c r="W54" s="89">
        <f t="shared" si="33"/>
        <v>355.13641107273895</v>
      </c>
      <c r="X54" s="89">
        <f t="shared" si="33"/>
        <v>415.8186809582804</v>
      </c>
      <c r="Y54" s="89">
        <f t="shared" si="33"/>
        <v>485.1411415720513</v>
      </c>
      <c r="Z54" s="89">
        <f t="shared" si="33"/>
        <v>563.9173881592345</v>
      </c>
      <c r="AA54" s="89">
        <f t="shared" si="33"/>
        <v>653.0450762401247</v>
      </c>
      <c r="AB54" s="89">
        <f t="shared" si="33"/>
        <v>753.447335331192</v>
      </c>
      <c r="AC54" s="89">
        <f t="shared" si="33"/>
        <v>866.1404097705844</v>
      </c>
      <c r="AD54" s="89">
        <f t="shared" si="33"/>
        <v>992.2277377849787</v>
      </c>
      <c r="AE54" s="89">
        <f t="shared" si="33"/>
        <v>1132.9070167111283</v>
      </c>
      <c r="AF54" s="89">
        <f t="shared" si="33"/>
        <v>1289.4779906544043</v>
      </c>
    </row>
    <row r="55" spans="1:32" s="14" customFormat="1" ht="15">
      <c r="A55" s="12" t="s">
        <v>101</v>
      </c>
      <c r="B55" s="8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</row>
    <row r="56" spans="1:32" s="3" customFormat="1" ht="15.75" customHeight="1">
      <c r="A56" s="7" t="s">
        <v>14</v>
      </c>
      <c r="B56" s="47"/>
      <c r="C56" s="141">
        <f>'конкурсные предложения'!B8</f>
        <v>0.1</v>
      </c>
      <c r="D56" s="141">
        <f>'конкурсные предложения'!C8</f>
        <v>0.1</v>
      </c>
      <c r="E56" s="141">
        <f>'конкурсные предложения'!D8</f>
        <v>0.1</v>
      </c>
      <c r="F56" s="141">
        <f aca="true" t="shared" si="34" ref="F56:V56">E56</f>
        <v>0.1</v>
      </c>
      <c r="G56" s="139">
        <f t="shared" si="34"/>
        <v>0.1</v>
      </c>
      <c r="H56" s="139">
        <f t="shared" si="34"/>
        <v>0.1</v>
      </c>
      <c r="I56" s="139">
        <f t="shared" si="34"/>
        <v>0.1</v>
      </c>
      <c r="J56" s="139">
        <f t="shared" si="34"/>
        <v>0.1</v>
      </c>
      <c r="K56" s="139">
        <f t="shared" si="34"/>
        <v>0.1</v>
      </c>
      <c r="L56" s="139">
        <f t="shared" si="34"/>
        <v>0.1</v>
      </c>
      <c r="M56" s="139">
        <f t="shared" si="34"/>
        <v>0.1</v>
      </c>
      <c r="N56" s="139">
        <f t="shared" si="34"/>
        <v>0.1</v>
      </c>
      <c r="O56" s="139">
        <f t="shared" si="34"/>
        <v>0.1</v>
      </c>
      <c r="P56" s="139">
        <f t="shared" si="34"/>
        <v>0.1</v>
      </c>
      <c r="Q56" s="139">
        <f t="shared" si="34"/>
        <v>0.1</v>
      </c>
      <c r="R56" s="139">
        <f t="shared" si="34"/>
        <v>0.1</v>
      </c>
      <c r="S56" s="139">
        <f t="shared" si="34"/>
        <v>0.1</v>
      </c>
      <c r="T56" s="139">
        <f t="shared" si="34"/>
        <v>0.1</v>
      </c>
      <c r="U56" s="139">
        <f t="shared" si="34"/>
        <v>0.1</v>
      </c>
      <c r="V56" s="139">
        <f t="shared" si="34"/>
        <v>0.1</v>
      </c>
      <c r="W56" s="139">
        <f aca="true" t="shared" si="35" ref="W56:AF56">V56</f>
        <v>0.1</v>
      </c>
      <c r="X56" s="139">
        <f t="shared" si="35"/>
        <v>0.1</v>
      </c>
      <c r="Y56" s="139">
        <f t="shared" si="35"/>
        <v>0.1</v>
      </c>
      <c r="Z56" s="139">
        <f t="shared" si="35"/>
        <v>0.1</v>
      </c>
      <c r="AA56" s="139">
        <f t="shared" si="35"/>
        <v>0.1</v>
      </c>
      <c r="AB56" s="139">
        <f t="shared" si="35"/>
        <v>0.1</v>
      </c>
      <c r="AC56" s="139">
        <f t="shared" si="35"/>
        <v>0.1</v>
      </c>
      <c r="AD56" s="139">
        <f t="shared" si="35"/>
        <v>0.1</v>
      </c>
      <c r="AE56" s="139">
        <f t="shared" si="35"/>
        <v>0.1</v>
      </c>
      <c r="AF56" s="139">
        <f t="shared" si="35"/>
        <v>0.1</v>
      </c>
    </row>
    <row r="57" spans="1:32" s="3" customFormat="1" ht="15">
      <c r="A57" s="6" t="s">
        <v>4</v>
      </c>
      <c r="B57" s="45"/>
      <c r="C57" s="89">
        <f>C18*C56</f>
        <v>20</v>
      </c>
      <c r="D57" s="89">
        <f aca="true" t="shared" si="36" ref="D57:AF57">D18*D56</f>
        <v>19</v>
      </c>
      <c r="E57" s="89">
        <f t="shared" si="36"/>
        <v>18</v>
      </c>
      <c r="F57" s="89">
        <f t="shared" si="36"/>
        <v>17</v>
      </c>
      <c r="G57" s="89">
        <f t="shared" si="36"/>
        <v>16</v>
      </c>
      <c r="H57" s="89">
        <f t="shared" si="36"/>
        <v>15</v>
      </c>
      <c r="I57" s="89">
        <f t="shared" si="36"/>
        <v>14</v>
      </c>
      <c r="J57" s="89">
        <f t="shared" si="36"/>
        <v>13</v>
      </c>
      <c r="K57" s="89">
        <f t="shared" si="36"/>
        <v>12</v>
      </c>
      <c r="L57" s="89">
        <f t="shared" si="36"/>
        <v>11</v>
      </c>
      <c r="M57" s="89">
        <f t="shared" si="36"/>
        <v>10</v>
      </c>
      <c r="N57" s="89">
        <f t="shared" si="36"/>
        <v>9</v>
      </c>
      <c r="O57" s="89">
        <f t="shared" si="36"/>
        <v>8</v>
      </c>
      <c r="P57" s="89">
        <f t="shared" si="36"/>
        <v>7</v>
      </c>
      <c r="Q57" s="89">
        <f t="shared" si="36"/>
        <v>6</v>
      </c>
      <c r="R57" s="89">
        <f t="shared" si="36"/>
        <v>5</v>
      </c>
      <c r="S57" s="89">
        <f t="shared" si="36"/>
        <v>4</v>
      </c>
      <c r="T57" s="89">
        <f t="shared" si="36"/>
        <v>3</v>
      </c>
      <c r="U57" s="89">
        <f t="shared" si="36"/>
        <v>2</v>
      </c>
      <c r="V57" s="89">
        <f t="shared" si="36"/>
        <v>1</v>
      </c>
      <c r="W57" s="89">
        <f t="shared" si="36"/>
        <v>0</v>
      </c>
      <c r="X57" s="89">
        <f t="shared" si="36"/>
        <v>0</v>
      </c>
      <c r="Y57" s="89">
        <f t="shared" si="36"/>
        <v>0</v>
      </c>
      <c r="Z57" s="89">
        <f t="shared" si="36"/>
        <v>0</v>
      </c>
      <c r="AA57" s="89">
        <f t="shared" si="36"/>
        <v>0</v>
      </c>
      <c r="AB57" s="89">
        <f t="shared" si="36"/>
        <v>0</v>
      </c>
      <c r="AC57" s="89">
        <f t="shared" si="36"/>
        <v>0</v>
      </c>
      <c r="AD57" s="89">
        <f t="shared" si="36"/>
        <v>0</v>
      </c>
      <c r="AE57" s="89">
        <f t="shared" si="36"/>
        <v>0</v>
      </c>
      <c r="AF57" s="89">
        <f t="shared" si="36"/>
        <v>0</v>
      </c>
    </row>
    <row r="58" spans="1:32" s="3" customFormat="1" ht="29.25" customHeight="1">
      <c r="A58" s="7" t="s">
        <v>15</v>
      </c>
      <c r="B58" s="25"/>
      <c r="C58" s="141">
        <f>'конкурсные предложения'!B9</f>
        <v>0.18</v>
      </c>
      <c r="D58" s="141">
        <f aca="true" t="shared" si="37" ref="D58:V58">C58</f>
        <v>0.18</v>
      </c>
      <c r="E58" s="141">
        <f t="shared" si="37"/>
        <v>0.18</v>
      </c>
      <c r="F58" s="141">
        <f t="shared" si="37"/>
        <v>0.18</v>
      </c>
      <c r="G58" s="141">
        <f t="shared" si="37"/>
        <v>0.18</v>
      </c>
      <c r="H58" s="141">
        <f t="shared" si="37"/>
        <v>0.18</v>
      </c>
      <c r="I58" s="141">
        <f t="shared" si="37"/>
        <v>0.18</v>
      </c>
      <c r="J58" s="141">
        <f t="shared" si="37"/>
        <v>0.18</v>
      </c>
      <c r="K58" s="141">
        <f t="shared" si="37"/>
        <v>0.18</v>
      </c>
      <c r="L58" s="141">
        <f t="shared" si="37"/>
        <v>0.18</v>
      </c>
      <c r="M58" s="141">
        <f t="shared" si="37"/>
        <v>0.18</v>
      </c>
      <c r="N58" s="141">
        <f t="shared" si="37"/>
        <v>0.18</v>
      </c>
      <c r="O58" s="141">
        <f t="shared" si="37"/>
        <v>0.18</v>
      </c>
      <c r="P58" s="141">
        <f t="shared" si="37"/>
        <v>0.18</v>
      </c>
      <c r="Q58" s="141">
        <f t="shared" si="37"/>
        <v>0.18</v>
      </c>
      <c r="R58" s="141">
        <f t="shared" si="37"/>
        <v>0.18</v>
      </c>
      <c r="S58" s="141">
        <f t="shared" si="37"/>
        <v>0.18</v>
      </c>
      <c r="T58" s="141">
        <f t="shared" si="37"/>
        <v>0.18</v>
      </c>
      <c r="U58" s="141">
        <f t="shared" si="37"/>
        <v>0.18</v>
      </c>
      <c r="V58" s="141">
        <f t="shared" si="37"/>
        <v>0.18</v>
      </c>
      <c r="W58" s="141">
        <f aca="true" t="shared" si="38" ref="W58:AF58">V58</f>
        <v>0.18</v>
      </c>
      <c r="X58" s="141">
        <f t="shared" si="38"/>
        <v>0.18</v>
      </c>
      <c r="Y58" s="141">
        <f t="shared" si="38"/>
        <v>0.18</v>
      </c>
      <c r="Z58" s="141">
        <f t="shared" si="38"/>
        <v>0.18</v>
      </c>
      <c r="AA58" s="141">
        <f t="shared" si="38"/>
        <v>0.18</v>
      </c>
      <c r="AB58" s="141">
        <f t="shared" si="38"/>
        <v>0.18</v>
      </c>
      <c r="AC58" s="141">
        <f t="shared" si="38"/>
        <v>0.18</v>
      </c>
      <c r="AD58" s="141">
        <f t="shared" si="38"/>
        <v>0.18</v>
      </c>
      <c r="AE58" s="141">
        <f t="shared" si="38"/>
        <v>0.18</v>
      </c>
      <c r="AF58" s="141">
        <f t="shared" si="38"/>
        <v>0.18</v>
      </c>
    </row>
    <row r="59" spans="1:32" s="3" customFormat="1" ht="15">
      <c r="A59" s="7" t="s">
        <v>5</v>
      </c>
      <c r="B59" s="23"/>
      <c r="C59" s="89">
        <f>(C21+C54)*C58</f>
        <v>4.5</v>
      </c>
      <c r="D59" s="89">
        <f>(D21+D54)*D58</f>
        <v>45.182659186046514</v>
      </c>
      <c r="E59" s="89">
        <f>(E21+E54)*E58</f>
        <v>85.92268206430936</v>
      </c>
      <c r="F59" s="89">
        <f aca="true" t="shared" si="39" ref="F59:AF59">(F21+F54)*F58</f>
        <v>126.57483279108808</v>
      </c>
      <c r="G59" s="89">
        <f t="shared" si="39"/>
        <v>168.12046837685128</v>
      </c>
      <c r="H59" s="89">
        <f t="shared" si="39"/>
        <v>210.6554263057923</v>
      </c>
      <c r="I59" s="89">
        <f t="shared" si="39"/>
        <v>254.22791804784075</v>
      </c>
      <c r="J59" s="89">
        <f t="shared" si="39"/>
        <v>298.9103219838705</v>
      </c>
      <c r="K59" s="89">
        <f t="shared" si="39"/>
        <v>344.7803161306672</v>
      </c>
      <c r="L59" s="89">
        <f t="shared" si="39"/>
        <v>391.9295080335314</v>
      </c>
      <c r="M59" s="89">
        <f t="shared" si="39"/>
        <v>440.4304508349462</v>
      </c>
      <c r="N59" s="89">
        <f t="shared" si="39"/>
        <v>530.0583544260144</v>
      </c>
      <c r="O59" s="89">
        <f t="shared" si="39"/>
        <v>665.0539614957793</v>
      </c>
      <c r="P59" s="89">
        <f t="shared" si="39"/>
        <v>849.4646826746558</v>
      </c>
      <c r="Q59" s="89">
        <f t="shared" si="39"/>
        <v>1087.6852005551</v>
      </c>
      <c r="R59" s="89">
        <f t="shared" si="39"/>
        <v>1384.4465775455678</v>
      </c>
      <c r="S59" s="89">
        <f t="shared" si="39"/>
        <v>1744.915842718574</v>
      </c>
      <c r="T59" s="89">
        <f t="shared" si="39"/>
        <v>2174.684108364139</v>
      </c>
      <c r="U59" s="89">
        <f t="shared" si="39"/>
        <v>2679.8129339563734</v>
      </c>
      <c r="V59" s="89">
        <f t="shared" si="39"/>
        <v>3266.5488523604668</v>
      </c>
      <c r="W59" s="89">
        <f t="shared" si="39"/>
        <v>3942.63838710867</v>
      </c>
      <c r="X59" s="89">
        <f t="shared" si="39"/>
        <v>4715.409312616701</v>
      </c>
      <c r="Y59" s="89">
        <f t="shared" si="39"/>
        <v>5595.198293385568</v>
      </c>
      <c r="Z59" s="89">
        <f t="shared" si="39"/>
        <v>6591.278578909953</v>
      </c>
      <c r="AA59" s="89">
        <f t="shared" si="39"/>
        <v>7713.577269040576</v>
      </c>
      <c r="AB59" s="89">
        <f t="shared" si="39"/>
        <v>8972.876414127386</v>
      </c>
      <c r="AC59" s="89">
        <f t="shared" si="39"/>
        <v>10380.851709162242</v>
      </c>
      <c r="AD59" s="89">
        <f t="shared" si="39"/>
        <v>11950.142173920813</v>
      </c>
      <c r="AE59" s="89">
        <f t="shared" si="39"/>
        <v>13694.427778308267</v>
      </c>
      <c r="AF59" s="89">
        <f t="shared" si="39"/>
        <v>15628.513243861957</v>
      </c>
    </row>
    <row r="60" spans="1:32" s="3" customFormat="1" ht="30">
      <c r="A60" s="7" t="s">
        <v>6</v>
      </c>
      <c r="B60" s="45"/>
      <c r="C60" s="89">
        <f>C57+C59</f>
        <v>24.5</v>
      </c>
      <c r="D60" s="89">
        <f aca="true" t="shared" si="40" ref="D60:AF60">D57+D59</f>
        <v>64.18265918604652</v>
      </c>
      <c r="E60" s="89">
        <f t="shared" si="40"/>
        <v>103.92268206430936</v>
      </c>
      <c r="F60" s="89">
        <f t="shared" si="40"/>
        <v>143.57483279108808</v>
      </c>
      <c r="G60" s="89">
        <f t="shared" si="40"/>
        <v>184.12046837685128</v>
      </c>
      <c r="H60" s="89">
        <f t="shared" si="40"/>
        <v>225.6554263057923</v>
      </c>
      <c r="I60" s="89">
        <f t="shared" si="40"/>
        <v>268.2279180478407</v>
      </c>
      <c r="J60" s="89">
        <f t="shared" si="40"/>
        <v>311.9103219838705</v>
      </c>
      <c r="K60" s="89">
        <f t="shared" si="40"/>
        <v>356.7803161306672</v>
      </c>
      <c r="L60" s="89">
        <f t="shared" si="40"/>
        <v>402.9295080335314</v>
      </c>
      <c r="M60" s="89">
        <f t="shared" si="40"/>
        <v>450.4304508349462</v>
      </c>
      <c r="N60" s="89">
        <f t="shared" si="40"/>
        <v>539.0583544260144</v>
      </c>
      <c r="O60" s="89">
        <f t="shared" si="40"/>
        <v>673.0539614957793</v>
      </c>
      <c r="P60" s="89">
        <f t="shared" si="40"/>
        <v>856.4646826746558</v>
      </c>
      <c r="Q60" s="89">
        <f t="shared" si="40"/>
        <v>1093.6852005551</v>
      </c>
      <c r="R60" s="89">
        <f t="shared" si="40"/>
        <v>1389.4465775455678</v>
      </c>
      <c r="S60" s="89">
        <f t="shared" si="40"/>
        <v>1748.915842718574</v>
      </c>
      <c r="T60" s="89">
        <f t="shared" si="40"/>
        <v>2177.684108364139</v>
      </c>
      <c r="U60" s="89">
        <f t="shared" si="40"/>
        <v>2681.8129339563734</v>
      </c>
      <c r="V60" s="89">
        <f t="shared" si="40"/>
        <v>3267.5488523604668</v>
      </c>
      <c r="W60" s="89">
        <f t="shared" si="40"/>
        <v>3942.63838710867</v>
      </c>
      <c r="X60" s="89">
        <f t="shared" si="40"/>
        <v>4715.409312616701</v>
      </c>
      <c r="Y60" s="89">
        <f t="shared" si="40"/>
        <v>5595.198293385568</v>
      </c>
      <c r="Z60" s="89">
        <f t="shared" si="40"/>
        <v>6591.278578909953</v>
      </c>
      <c r="AA60" s="89">
        <f t="shared" si="40"/>
        <v>7713.577269040576</v>
      </c>
      <c r="AB60" s="89">
        <f t="shared" si="40"/>
        <v>8972.876414127386</v>
      </c>
      <c r="AC60" s="89">
        <f t="shared" si="40"/>
        <v>10380.851709162242</v>
      </c>
      <c r="AD60" s="89">
        <f t="shared" si="40"/>
        <v>11950.142173920813</v>
      </c>
      <c r="AE60" s="89">
        <f t="shared" si="40"/>
        <v>13694.427778308267</v>
      </c>
      <c r="AF60" s="89">
        <f t="shared" si="40"/>
        <v>15628.513243861957</v>
      </c>
    </row>
    <row r="61" spans="1:32" s="14" customFormat="1" ht="15">
      <c r="A61" s="12" t="s">
        <v>7</v>
      </c>
      <c r="B61" s="84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</row>
    <row r="62" spans="1:32" s="3" customFormat="1" ht="15">
      <c r="A62" s="290" t="s">
        <v>100</v>
      </c>
      <c r="B62" s="291"/>
      <c r="C62" s="292">
        <f>'конкурсные предложения'!B6*C12</f>
        <v>11</v>
      </c>
      <c r="D62" s="285">
        <f>C62*D66*(1+D64)*(1-0.01)</f>
        <v>14.2250625</v>
      </c>
      <c r="E62" s="285">
        <f>D62*E66*(1+E64)*(1-0.01)</f>
        <v>14.927780587500001</v>
      </c>
      <c r="F62" s="292">
        <f>'конкурсные предложения'!E6*F12</f>
        <v>13.723820000000002</v>
      </c>
      <c r="G62" s="285">
        <f>F62*G66*(1+G64)*(1-0.01)</f>
        <v>14.537642526</v>
      </c>
      <c r="H62" s="285">
        <f>G62*H66*(1+H64)*(1-0.01)</f>
        <v>15.399724727791801</v>
      </c>
      <c r="I62" s="285">
        <f>H62*I66*(1+I64)*(1-0.01)</f>
        <v>16.312928404149858</v>
      </c>
      <c r="J62" s="285">
        <f>I62*J66*(1+J64)*(1-0.01)</f>
        <v>17.280285058515947</v>
      </c>
      <c r="K62" s="292">
        <f>'конкурсные предложения'!J6*K12</f>
        <v>19.248367492815284</v>
      </c>
      <c r="L62" s="285">
        <f>K62*L66*(1+L64)*(1-0.01)</f>
        <v>20.38979568513923</v>
      </c>
      <c r="M62" s="285">
        <f>L62*M66*(1+M64)*(1-0.01)</f>
        <v>21.598910569267986</v>
      </c>
      <c r="N62" s="285">
        <f>M62*N66*(1+N64)*(1-0.01)</f>
        <v>22.87972596602558</v>
      </c>
      <c r="O62" s="285">
        <f>N62*O66*(1+O64)*(1-0.01)</f>
        <v>24.236493715810894</v>
      </c>
      <c r="P62" s="292">
        <f>'конкурсные предложения'!O6*P12</f>
        <v>26.996831140197703</v>
      </c>
      <c r="Q62" s="285">
        <f>P62*Q66*(1+Q64)*(1-0.01)</f>
        <v>28.597743226811428</v>
      </c>
      <c r="R62" s="285">
        <f>Q62*R66*(1+R64)*(1-0.01)</f>
        <v>30.293589400161345</v>
      </c>
      <c r="S62" s="285">
        <f>R62*S66*(1+S64)*(1-0.01)</f>
        <v>32.08999925159092</v>
      </c>
      <c r="T62" s="285">
        <f>S62*T66*(1+T64)*(1-0.01)</f>
        <v>33.99293620721026</v>
      </c>
      <c r="U62" s="292">
        <f>'конкурсные предложения'!T6*U12</f>
        <v>0</v>
      </c>
      <c r="V62" s="285">
        <f>U62*V66*(1+V64)*(1-0.01)</f>
        <v>0</v>
      </c>
      <c r="W62" s="285">
        <f>V62*W66*(1+W64)*(1-0.01)</f>
        <v>0</v>
      </c>
      <c r="X62" s="285">
        <f>W62*X66*(1+X64)*(1-0.01)</f>
        <v>0</v>
      </c>
      <c r="Y62" s="285">
        <f>X62*Y66*(1+Y64)*(1-0.01)</f>
        <v>0</v>
      </c>
      <c r="Z62" s="292">
        <f>'конкурсные предложения'!Y6*Z12</f>
        <v>0</v>
      </c>
      <c r="AA62" s="285">
        <f>Z62*AA66*(1+AA64)*(1-0.01)</f>
        <v>0</v>
      </c>
      <c r="AB62" s="285">
        <f>AA62*AB66*(1+AB64)*(1-0.01)</f>
        <v>0</v>
      </c>
      <c r="AC62" s="285">
        <f>AB62*AC66*(1+AC64)*(1-0.01)</f>
        <v>0</v>
      </c>
      <c r="AD62" s="285">
        <f>AC62*AD66*(1+AD64)*(1-0.01)</f>
        <v>0</v>
      </c>
      <c r="AE62" s="292">
        <f>'конкурсные предложения'!AD6*AE12</f>
        <v>0</v>
      </c>
      <c r="AF62" s="285">
        <f>AE62*AF66*(1+AF64)*(1-0.01)</f>
        <v>0</v>
      </c>
    </row>
    <row r="63" spans="1:32" s="3" customFormat="1" ht="30">
      <c r="A63" s="9" t="s">
        <v>34</v>
      </c>
      <c r="B63" s="23"/>
      <c r="C63" s="86">
        <v>0.75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</row>
    <row r="64" spans="1:32" s="3" customFormat="1" ht="15">
      <c r="A64" s="9" t="s">
        <v>16</v>
      </c>
      <c r="B64" s="21"/>
      <c r="C64" s="140"/>
      <c r="D64" s="141">
        <f>'конкурсная документация'!D$23</f>
        <v>0.1</v>
      </c>
      <c r="E64" s="141">
        <f>'конкурсная документация'!E$23</f>
        <v>0.06</v>
      </c>
      <c r="F64" s="141">
        <f>'конкурсная документация'!F$23</f>
        <v>0.07</v>
      </c>
      <c r="G64" s="141">
        <f>'конкурсная документация'!G$23</f>
        <v>0.07</v>
      </c>
      <c r="H64" s="141">
        <f>'конкурсная документация'!H$23</f>
        <v>0.07</v>
      </c>
      <c r="I64" s="141">
        <f>'конкурсная документация'!I$23</f>
        <v>0.07</v>
      </c>
      <c r="J64" s="141">
        <f>'конкурсная документация'!J$23</f>
        <v>0.07</v>
      </c>
      <c r="K64" s="141">
        <f>'конкурсная документация'!K$23</f>
        <v>0.07</v>
      </c>
      <c r="L64" s="141">
        <f>'конкурсная документация'!L$23</f>
        <v>0.07</v>
      </c>
      <c r="M64" s="141">
        <f>'конкурсная документация'!M$23</f>
        <v>0.07</v>
      </c>
      <c r="N64" s="141">
        <f>'конкурсная документация'!N$23</f>
        <v>0.07</v>
      </c>
      <c r="O64" s="141">
        <f>'конкурсная документация'!O$23</f>
        <v>0.07</v>
      </c>
      <c r="P64" s="141">
        <f>'конкурсная документация'!P$23</f>
        <v>0.07</v>
      </c>
      <c r="Q64" s="141">
        <f>'конкурсная документация'!Q$23</f>
        <v>0.07</v>
      </c>
      <c r="R64" s="141">
        <f>'конкурсная документация'!R$23</f>
        <v>0.07</v>
      </c>
      <c r="S64" s="141">
        <f>'конкурсная документация'!S$23</f>
        <v>0.07</v>
      </c>
      <c r="T64" s="141">
        <f>'конкурсная документация'!T$23</f>
        <v>0.07</v>
      </c>
      <c r="U64" s="141">
        <f>'конкурсная документация'!U$23</f>
        <v>0.07</v>
      </c>
      <c r="V64" s="141">
        <f>'конкурсная документация'!V$23</f>
        <v>0.07</v>
      </c>
      <c r="W64" s="141">
        <f>'конкурсная документация'!W$23</f>
        <v>0.07</v>
      </c>
      <c r="X64" s="141">
        <f>'конкурсная документация'!X$23</f>
        <v>0.07</v>
      </c>
      <c r="Y64" s="141">
        <f>'конкурсная документация'!Y$23</f>
        <v>0.07</v>
      </c>
      <c r="Z64" s="141">
        <f>'конкурсная документация'!Z$23</f>
        <v>0.07</v>
      </c>
      <c r="AA64" s="141">
        <f>'конкурсная документация'!AA$23</f>
        <v>0.07</v>
      </c>
      <c r="AB64" s="141">
        <f>'конкурсная документация'!AB$23</f>
        <v>0.07</v>
      </c>
      <c r="AC64" s="141">
        <f>'конкурсная документация'!AC$23</f>
        <v>0.07</v>
      </c>
      <c r="AD64" s="141">
        <f>'конкурсная документация'!AD$23</f>
        <v>0.07</v>
      </c>
      <c r="AE64" s="141">
        <f>'конкурсная документация'!AE$23</f>
        <v>0.07</v>
      </c>
      <c r="AF64" s="141">
        <f>'конкурсная документация'!AF$23</f>
        <v>0.07</v>
      </c>
    </row>
    <row r="65" spans="1:32" s="238" customFormat="1" ht="45">
      <c r="A65" s="257" t="s">
        <v>152</v>
      </c>
      <c r="B65" s="258"/>
      <c r="C65" s="259">
        <f>'конкурсная документация'!C43</f>
        <v>0.5</v>
      </c>
      <c r="D65" s="259">
        <f>C65*(1+$C$63*D68)/D66</f>
        <v>0.42105263157894735</v>
      </c>
      <c r="E65" s="259">
        <f>D65*(1+$C$63*E68)/E66</f>
        <v>0.42105263157894735</v>
      </c>
      <c r="F65" s="259">
        <f>E65*(1+$C$63*F68)/F66</f>
        <v>0.42105263157894735</v>
      </c>
      <c r="G65" s="259">
        <f>F65*(1+$C$63*G68)/G66</f>
        <v>0.42105263157894735</v>
      </c>
      <c r="H65" s="259">
        <f>G65*(1+$C$63*H68)/H66</f>
        <v>0.42105263157894735</v>
      </c>
      <c r="I65" s="259">
        <f aca="true" t="shared" si="41" ref="I65:AF65">H65*(1+$C$63*I68)/I66</f>
        <v>0.42105263157894735</v>
      </c>
      <c r="J65" s="259">
        <f t="shared" si="41"/>
        <v>0.42105263157894735</v>
      </c>
      <c r="K65" s="259">
        <f t="shared" si="41"/>
        <v>0.42105263157894735</v>
      </c>
      <c r="L65" s="259">
        <f t="shared" si="41"/>
        <v>0.42105263157894735</v>
      </c>
      <c r="M65" s="259">
        <f t="shared" si="41"/>
        <v>0.42105263157894735</v>
      </c>
      <c r="N65" s="259">
        <f t="shared" si="41"/>
        <v>0.42105263157894735</v>
      </c>
      <c r="O65" s="259">
        <f t="shared" si="41"/>
        <v>0.42105263157894735</v>
      </c>
      <c r="P65" s="259">
        <f t="shared" si="41"/>
        <v>0.42105263157894735</v>
      </c>
      <c r="Q65" s="259">
        <f t="shared" si="41"/>
        <v>0.42105263157894735</v>
      </c>
      <c r="R65" s="259">
        <f t="shared" si="41"/>
        <v>0.42105263157894735</v>
      </c>
      <c r="S65" s="259">
        <f t="shared" si="41"/>
        <v>0.42105263157894735</v>
      </c>
      <c r="T65" s="259">
        <f t="shared" si="41"/>
        <v>0.42105263157894735</v>
      </c>
      <c r="U65" s="259">
        <f t="shared" si="41"/>
        <v>0.42105263157894735</v>
      </c>
      <c r="V65" s="259">
        <f t="shared" si="41"/>
        <v>0.42105263157894735</v>
      </c>
      <c r="W65" s="259">
        <f t="shared" si="41"/>
        <v>0.42105263157894735</v>
      </c>
      <c r="X65" s="259">
        <f t="shared" si="41"/>
        <v>0.42105263157894735</v>
      </c>
      <c r="Y65" s="259">
        <f t="shared" si="41"/>
        <v>0.42105263157894735</v>
      </c>
      <c r="Z65" s="259">
        <f t="shared" si="41"/>
        <v>0.42105263157894735</v>
      </c>
      <c r="AA65" s="259">
        <f t="shared" si="41"/>
        <v>0.42105263157894735</v>
      </c>
      <c r="AB65" s="259">
        <f t="shared" si="41"/>
        <v>0.42105263157894735</v>
      </c>
      <c r="AC65" s="259">
        <f t="shared" si="41"/>
        <v>0.42105263157894735</v>
      </c>
      <c r="AD65" s="259">
        <f t="shared" si="41"/>
        <v>0.42105263157894735</v>
      </c>
      <c r="AE65" s="259">
        <f t="shared" si="41"/>
        <v>0.42105263157894735</v>
      </c>
      <c r="AF65" s="259">
        <f t="shared" si="41"/>
        <v>0.42105263157894735</v>
      </c>
    </row>
    <row r="66" spans="1:32" s="238" customFormat="1" ht="15">
      <c r="A66" s="257" t="s">
        <v>159</v>
      </c>
      <c r="B66" s="258"/>
      <c r="C66" s="259"/>
      <c r="D66" s="301">
        <f>(1+$C$63*D68)*C65+(1+$C$63*D70)*(1-C65)</f>
        <v>1.1875</v>
      </c>
      <c r="E66" s="301">
        <f>(1+$C$63*E68)*D65+(1+$C$63*E70)*(1-D65)</f>
        <v>1</v>
      </c>
      <c r="F66" s="301">
        <f aca="true" t="shared" si="42" ref="F66:AF66">(1+$C$63*F68)*E65+(1+$C$63*F70)*(1-E65)</f>
        <v>1</v>
      </c>
      <c r="G66" s="301">
        <f t="shared" si="42"/>
        <v>1</v>
      </c>
      <c r="H66" s="301">
        <f t="shared" si="42"/>
        <v>1</v>
      </c>
      <c r="I66" s="301">
        <f t="shared" si="42"/>
        <v>1</v>
      </c>
      <c r="J66" s="301">
        <f t="shared" si="42"/>
        <v>1</v>
      </c>
      <c r="K66" s="301">
        <f t="shared" si="42"/>
        <v>1</v>
      </c>
      <c r="L66" s="301">
        <f t="shared" si="42"/>
        <v>1</v>
      </c>
      <c r="M66" s="301">
        <f t="shared" si="42"/>
        <v>1</v>
      </c>
      <c r="N66" s="301">
        <f t="shared" si="42"/>
        <v>1</v>
      </c>
      <c r="O66" s="301">
        <f t="shared" si="42"/>
        <v>1</v>
      </c>
      <c r="P66" s="301">
        <f t="shared" si="42"/>
        <v>1</v>
      </c>
      <c r="Q66" s="301">
        <f t="shared" si="42"/>
        <v>1</v>
      </c>
      <c r="R66" s="301">
        <f t="shared" si="42"/>
        <v>1</v>
      </c>
      <c r="S66" s="301">
        <f t="shared" si="42"/>
        <v>1</v>
      </c>
      <c r="T66" s="301">
        <f t="shared" si="42"/>
        <v>1</v>
      </c>
      <c r="U66" s="301">
        <f t="shared" si="42"/>
        <v>1</v>
      </c>
      <c r="V66" s="301">
        <f t="shared" si="42"/>
        <v>1</v>
      </c>
      <c r="W66" s="301">
        <f t="shared" si="42"/>
        <v>1</v>
      </c>
      <c r="X66" s="301">
        <f t="shared" si="42"/>
        <v>1</v>
      </c>
      <c r="Y66" s="301">
        <f t="shared" si="42"/>
        <v>1</v>
      </c>
      <c r="Z66" s="301">
        <f t="shared" si="42"/>
        <v>1</v>
      </c>
      <c r="AA66" s="301">
        <f t="shared" si="42"/>
        <v>1</v>
      </c>
      <c r="AB66" s="301">
        <f t="shared" si="42"/>
        <v>1</v>
      </c>
      <c r="AC66" s="301">
        <f t="shared" si="42"/>
        <v>1</v>
      </c>
      <c r="AD66" s="301">
        <f t="shared" si="42"/>
        <v>1</v>
      </c>
      <c r="AE66" s="301">
        <f t="shared" si="42"/>
        <v>1</v>
      </c>
      <c r="AF66" s="301">
        <f t="shared" si="42"/>
        <v>1</v>
      </c>
    </row>
    <row r="67" spans="1:32" s="238" customFormat="1" ht="47.25" customHeight="1">
      <c r="A67" s="257" t="s">
        <v>153</v>
      </c>
      <c r="B67" s="261"/>
      <c r="C67" s="261">
        <f>'конкурсная документация'!C44</f>
        <v>1</v>
      </c>
      <c r="D67" s="261">
        <f>'конкурсная документация'!D44</f>
        <v>1</v>
      </c>
      <c r="E67" s="261">
        <f>'конкурсная документация'!E44</f>
        <v>1</v>
      </c>
      <c r="F67" s="261">
        <f>'конкурсная документация'!F44</f>
        <v>1</v>
      </c>
      <c r="G67" s="261">
        <f>'конкурсная документация'!G44</f>
        <v>1</v>
      </c>
      <c r="H67" s="261">
        <f>'конкурсная документация'!H44</f>
        <v>1</v>
      </c>
      <c r="I67" s="261">
        <f>'конкурсная документация'!I44</f>
        <v>1</v>
      </c>
      <c r="J67" s="261">
        <f>'конкурсная документация'!J44</f>
        <v>1</v>
      </c>
      <c r="K67" s="261">
        <f>'конкурсная документация'!K44</f>
        <v>1</v>
      </c>
      <c r="L67" s="261">
        <f>'конкурсная документация'!L44</f>
        <v>1</v>
      </c>
      <c r="M67" s="261">
        <f>'конкурсная документация'!M44</f>
        <v>1</v>
      </c>
      <c r="N67" s="261">
        <f>'конкурсная документация'!N44</f>
        <v>1</v>
      </c>
      <c r="O67" s="261">
        <f>'конкурсная документация'!O44</f>
        <v>1</v>
      </c>
      <c r="P67" s="261">
        <f>'конкурсная документация'!P44</f>
        <v>1</v>
      </c>
      <c r="Q67" s="261">
        <f>'конкурсная документация'!Q44</f>
        <v>1</v>
      </c>
      <c r="R67" s="261">
        <f>'конкурсная документация'!R44</f>
        <v>1</v>
      </c>
      <c r="S67" s="261">
        <f>'конкурсная документация'!S44</f>
        <v>1</v>
      </c>
      <c r="T67" s="261">
        <f>'конкурсная документация'!T44</f>
        <v>1</v>
      </c>
      <c r="U67" s="261">
        <f>'конкурсная документация'!U44</f>
        <v>1</v>
      </c>
      <c r="V67" s="261">
        <f>'конкурсная документация'!V44</f>
        <v>1</v>
      </c>
      <c r="W67" s="261">
        <f>'конкурсная документация'!W44</f>
        <v>1</v>
      </c>
      <c r="X67" s="261">
        <f>'конкурсная документация'!X44</f>
        <v>1</v>
      </c>
      <c r="Y67" s="261">
        <f>'конкурсная документация'!Y44</f>
        <v>1</v>
      </c>
      <c r="Z67" s="261">
        <f>'конкурсная документация'!Z44</f>
        <v>1</v>
      </c>
      <c r="AA67" s="261">
        <f>'конкурсная документация'!AA44</f>
        <v>1</v>
      </c>
      <c r="AB67" s="261">
        <f>'конкурсная документация'!AB44</f>
        <v>1</v>
      </c>
      <c r="AC67" s="261">
        <f>'конкурсная документация'!AC44</f>
        <v>1</v>
      </c>
      <c r="AD67" s="261">
        <f>'конкурсная документация'!AD44</f>
        <v>1</v>
      </c>
      <c r="AE67" s="261">
        <f>'конкурсная документация'!AE44</f>
        <v>1</v>
      </c>
      <c r="AF67" s="261">
        <f>'конкурсная документация'!AF44</f>
        <v>1</v>
      </c>
    </row>
    <row r="68" spans="1:32" s="238" customFormat="1" ht="16.5" customHeight="1">
      <c r="A68" s="257" t="s">
        <v>160</v>
      </c>
      <c r="B68" s="261"/>
      <c r="C68" s="259"/>
      <c r="D68" s="261">
        <f>(D67-C67)/C67</f>
        <v>0</v>
      </c>
      <c r="E68" s="261">
        <f aca="true" t="shared" si="43" ref="E68:AF68">(E67-D67)/D67</f>
        <v>0</v>
      </c>
      <c r="F68" s="261">
        <f t="shared" si="43"/>
        <v>0</v>
      </c>
      <c r="G68" s="261">
        <f t="shared" si="43"/>
        <v>0</v>
      </c>
      <c r="H68" s="261">
        <f t="shared" si="43"/>
        <v>0</v>
      </c>
      <c r="I68" s="261">
        <f t="shared" si="43"/>
        <v>0</v>
      </c>
      <c r="J68" s="261">
        <f t="shared" si="43"/>
        <v>0</v>
      </c>
      <c r="K68" s="261">
        <f t="shared" si="43"/>
        <v>0</v>
      </c>
      <c r="L68" s="261">
        <f t="shared" si="43"/>
        <v>0</v>
      </c>
      <c r="M68" s="261">
        <f t="shared" si="43"/>
        <v>0</v>
      </c>
      <c r="N68" s="261">
        <f t="shared" si="43"/>
        <v>0</v>
      </c>
      <c r="O68" s="261">
        <f t="shared" si="43"/>
        <v>0</v>
      </c>
      <c r="P68" s="261">
        <f t="shared" si="43"/>
        <v>0</v>
      </c>
      <c r="Q68" s="261">
        <f t="shared" si="43"/>
        <v>0</v>
      </c>
      <c r="R68" s="261">
        <f t="shared" si="43"/>
        <v>0</v>
      </c>
      <c r="S68" s="261">
        <f t="shared" si="43"/>
        <v>0</v>
      </c>
      <c r="T68" s="261">
        <f t="shared" si="43"/>
        <v>0</v>
      </c>
      <c r="U68" s="261">
        <f t="shared" si="43"/>
        <v>0</v>
      </c>
      <c r="V68" s="261">
        <f t="shared" si="43"/>
        <v>0</v>
      </c>
      <c r="W68" s="261">
        <f t="shared" si="43"/>
        <v>0</v>
      </c>
      <c r="X68" s="261">
        <f t="shared" si="43"/>
        <v>0</v>
      </c>
      <c r="Y68" s="261">
        <f t="shared" si="43"/>
        <v>0</v>
      </c>
      <c r="Z68" s="261">
        <f t="shared" si="43"/>
        <v>0</v>
      </c>
      <c r="AA68" s="261">
        <f t="shared" si="43"/>
        <v>0</v>
      </c>
      <c r="AB68" s="261">
        <f t="shared" si="43"/>
        <v>0</v>
      </c>
      <c r="AC68" s="261">
        <f t="shared" si="43"/>
        <v>0</v>
      </c>
      <c r="AD68" s="261">
        <f t="shared" si="43"/>
        <v>0</v>
      </c>
      <c r="AE68" s="261">
        <f t="shared" si="43"/>
        <v>0</v>
      </c>
      <c r="AF68" s="261">
        <f t="shared" si="43"/>
        <v>0</v>
      </c>
    </row>
    <row r="69" spans="1:256" s="238" customFormat="1" ht="33.75" customHeight="1">
      <c r="A69" s="257" t="s">
        <v>154</v>
      </c>
      <c r="B69" s="261"/>
      <c r="C69" s="300">
        <f>'конкурсная документация'!C45</f>
        <v>2</v>
      </c>
      <c r="D69" s="300">
        <f>'конкурсная документация'!D45</f>
        <v>3</v>
      </c>
      <c r="E69" s="300">
        <f>'конкурсная документация'!E45</f>
        <v>3</v>
      </c>
      <c r="F69" s="300">
        <f>'конкурсная документация'!F45</f>
        <v>3</v>
      </c>
      <c r="G69" s="300">
        <f>'конкурсная документация'!G45</f>
        <v>3</v>
      </c>
      <c r="H69" s="300">
        <f>'конкурсная документация'!H45</f>
        <v>3</v>
      </c>
      <c r="I69" s="300">
        <f>'конкурсная документация'!I45</f>
        <v>3</v>
      </c>
      <c r="J69" s="300">
        <f>'конкурсная документация'!J45</f>
        <v>3</v>
      </c>
      <c r="K69" s="300">
        <f>'конкурсная документация'!K45</f>
        <v>3</v>
      </c>
      <c r="L69" s="300">
        <f>'конкурсная документация'!L45</f>
        <v>3</v>
      </c>
      <c r="M69" s="300">
        <f>'конкурсная документация'!M45</f>
        <v>3</v>
      </c>
      <c r="N69" s="300">
        <f>'конкурсная документация'!N45</f>
        <v>3</v>
      </c>
      <c r="O69" s="300">
        <f>'конкурсная документация'!O45</f>
        <v>3</v>
      </c>
      <c r="P69" s="300">
        <f>'конкурсная документация'!P45</f>
        <v>3</v>
      </c>
      <c r="Q69" s="300">
        <f>'конкурсная документация'!Q45</f>
        <v>3</v>
      </c>
      <c r="R69" s="300">
        <f>'конкурсная документация'!R45</f>
        <v>3</v>
      </c>
      <c r="S69" s="300">
        <f>'конкурсная документация'!S45</f>
        <v>3</v>
      </c>
      <c r="T69" s="300">
        <f>'конкурсная документация'!T45</f>
        <v>3</v>
      </c>
      <c r="U69" s="300">
        <f>'конкурсная документация'!U45</f>
        <v>3</v>
      </c>
      <c r="V69" s="300">
        <f>'конкурсная документация'!V45</f>
        <v>3</v>
      </c>
      <c r="W69" s="300">
        <f>'конкурсная документация'!W45</f>
        <v>3</v>
      </c>
      <c r="X69" s="300">
        <f>'конкурсная документация'!X45</f>
        <v>3</v>
      </c>
      <c r="Y69" s="300">
        <f>'конкурсная документация'!Y45</f>
        <v>3</v>
      </c>
      <c r="Z69" s="300">
        <f>'конкурсная документация'!Z45</f>
        <v>3</v>
      </c>
      <c r="AA69" s="300">
        <f>'конкурсная документация'!AA45</f>
        <v>3</v>
      </c>
      <c r="AB69" s="300">
        <f>'конкурсная документация'!AB45</f>
        <v>3</v>
      </c>
      <c r="AC69" s="300">
        <f>'конкурсная документация'!AC45</f>
        <v>3</v>
      </c>
      <c r="AD69" s="300">
        <f>'конкурсная документация'!AD45</f>
        <v>3</v>
      </c>
      <c r="AE69" s="300">
        <f>'конкурсная документация'!AE45</f>
        <v>3</v>
      </c>
      <c r="AF69" s="300">
        <f>'конкурсная документация'!AF45</f>
        <v>3</v>
      </c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238" customFormat="1" ht="30.75" customHeight="1">
      <c r="A70" s="257" t="s">
        <v>161</v>
      </c>
      <c r="B70" s="261"/>
      <c r="C70" s="259"/>
      <c r="D70" s="261">
        <f>(D69-C69)/C69</f>
        <v>0.5</v>
      </c>
      <c r="E70" s="261">
        <f aca="true" t="shared" si="44" ref="E70:AF70">(E69-D69)/D69</f>
        <v>0</v>
      </c>
      <c r="F70" s="261">
        <f t="shared" si="44"/>
        <v>0</v>
      </c>
      <c r="G70" s="261">
        <f t="shared" si="44"/>
        <v>0</v>
      </c>
      <c r="H70" s="261">
        <f t="shared" si="44"/>
        <v>0</v>
      </c>
      <c r="I70" s="261">
        <f t="shared" si="44"/>
        <v>0</v>
      </c>
      <c r="J70" s="261">
        <f t="shared" si="44"/>
        <v>0</v>
      </c>
      <c r="K70" s="261">
        <f t="shared" si="44"/>
        <v>0</v>
      </c>
      <c r="L70" s="261">
        <f t="shared" si="44"/>
        <v>0</v>
      </c>
      <c r="M70" s="261">
        <f t="shared" si="44"/>
        <v>0</v>
      </c>
      <c r="N70" s="261">
        <f t="shared" si="44"/>
        <v>0</v>
      </c>
      <c r="O70" s="261">
        <f t="shared" si="44"/>
        <v>0</v>
      </c>
      <c r="P70" s="261">
        <f t="shared" si="44"/>
        <v>0</v>
      </c>
      <c r="Q70" s="261">
        <f t="shared" si="44"/>
        <v>0</v>
      </c>
      <c r="R70" s="261">
        <f t="shared" si="44"/>
        <v>0</v>
      </c>
      <c r="S70" s="261">
        <f t="shared" si="44"/>
        <v>0</v>
      </c>
      <c r="T70" s="261">
        <f t="shared" si="44"/>
        <v>0</v>
      </c>
      <c r="U70" s="261">
        <f t="shared" si="44"/>
        <v>0</v>
      </c>
      <c r="V70" s="261">
        <f t="shared" si="44"/>
        <v>0</v>
      </c>
      <c r="W70" s="261">
        <f t="shared" si="44"/>
        <v>0</v>
      </c>
      <c r="X70" s="261">
        <f t="shared" si="44"/>
        <v>0</v>
      </c>
      <c r="Y70" s="261">
        <f t="shared" si="44"/>
        <v>0</v>
      </c>
      <c r="Z70" s="261">
        <f t="shared" si="44"/>
        <v>0</v>
      </c>
      <c r="AA70" s="261">
        <f t="shared" si="44"/>
        <v>0</v>
      </c>
      <c r="AB70" s="261">
        <f t="shared" si="44"/>
        <v>0</v>
      </c>
      <c r="AC70" s="261">
        <f t="shared" si="44"/>
        <v>0</v>
      </c>
      <c r="AD70" s="261">
        <f t="shared" si="44"/>
        <v>0</v>
      </c>
      <c r="AE70" s="261">
        <f t="shared" si="44"/>
        <v>0</v>
      </c>
      <c r="AF70" s="261">
        <f t="shared" si="44"/>
        <v>0</v>
      </c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  <c r="CS70" s="262"/>
      <c r="CT70" s="262"/>
      <c r="CU70" s="262"/>
      <c r="CV70" s="262"/>
      <c r="CW70" s="262"/>
      <c r="CX70" s="26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262"/>
      <c r="FZ70" s="262"/>
      <c r="GA70" s="262"/>
      <c r="GB70" s="262"/>
      <c r="GC70" s="262"/>
      <c r="GD70" s="262"/>
      <c r="GE70" s="262"/>
      <c r="GF70" s="262"/>
      <c r="GG70" s="262"/>
      <c r="GH70" s="262"/>
      <c r="GI70" s="262"/>
      <c r="GJ70" s="262"/>
      <c r="GK70" s="262"/>
      <c r="GL70" s="262"/>
      <c r="GM70" s="262"/>
      <c r="GN70" s="262"/>
      <c r="GO70" s="262"/>
      <c r="GP70" s="262"/>
      <c r="GQ70" s="262"/>
      <c r="GR70" s="262"/>
      <c r="GS70" s="262"/>
      <c r="GT70" s="262"/>
      <c r="GU70" s="262"/>
      <c r="GV70" s="262"/>
      <c r="GW70" s="262"/>
      <c r="GX70" s="262"/>
      <c r="GY70" s="262"/>
      <c r="GZ70" s="262"/>
      <c r="HA70" s="262"/>
      <c r="HB70" s="262"/>
      <c r="HC70" s="262"/>
      <c r="HD70" s="262"/>
      <c r="HE70" s="262"/>
      <c r="HF70" s="262"/>
      <c r="HG70" s="262"/>
      <c r="HH70" s="262"/>
      <c r="HI70" s="262"/>
      <c r="HJ70" s="262"/>
      <c r="HK70" s="262"/>
      <c r="HL70" s="262"/>
      <c r="HM70" s="262"/>
      <c r="HN70" s="262"/>
      <c r="HO70" s="262"/>
      <c r="HP70" s="262"/>
      <c r="HQ70" s="262"/>
      <c r="HR70" s="262"/>
      <c r="HS70" s="262"/>
      <c r="HT70" s="262"/>
      <c r="HU70" s="262"/>
      <c r="HV70" s="262"/>
      <c r="HW70" s="262"/>
      <c r="HX70" s="262"/>
      <c r="HY70" s="262"/>
      <c r="HZ70" s="262"/>
      <c r="IA70" s="262"/>
      <c r="IB70" s="262"/>
      <c r="IC70" s="262"/>
      <c r="ID70" s="262"/>
      <c r="IE70" s="262"/>
      <c r="IF70" s="262"/>
      <c r="IG70" s="262"/>
      <c r="IH70" s="262"/>
      <c r="II70" s="262"/>
      <c r="IJ70" s="262"/>
      <c r="IK70" s="262"/>
      <c r="IL70" s="262"/>
      <c r="IM70" s="262"/>
      <c r="IN70" s="262"/>
      <c r="IO70" s="262"/>
      <c r="IP70" s="262"/>
      <c r="IQ70" s="262"/>
      <c r="IR70" s="262"/>
      <c r="IS70" s="262"/>
      <c r="IT70" s="262"/>
      <c r="IU70" s="262"/>
      <c r="IV70" s="262"/>
    </row>
    <row r="71" spans="1:32" s="3" customFormat="1" ht="15" customHeight="1">
      <c r="A71" s="40" t="s">
        <v>59</v>
      </c>
      <c r="B71" s="22"/>
      <c r="C71" s="143">
        <f aca="true" t="shared" si="45" ref="C71:AF71">SUM(C72,C75,C78,C81)</f>
        <v>33.250465116279074</v>
      </c>
      <c r="D71" s="143">
        <f t="shared" si="45"/>
        <v>35.67708732959102</v>
      </c>
      <c r="E71" s="143">
        <f t="shared" si="45"/>
        <v>38.35338695300723</v>
      </c>
      <c r="F71" s="143">
        <f t="shared" si="45"/>
        <v>40.573591183497996</v>
      </c>
      <c r="G71" s="143">
        <f t="shared" si="45"/>
        <v>43.20465524529305</v>
      </c>
      <c r="H71" s="143">
        <f t="shared" si="45"/>
        <v>46.0065913085089</v>
      </c>
      <c r="I71" s="143">
        <f t="shared" si="45"/>
        <v>48.99051304343402</v>
      </c>
      <c r="J71" s="143">
        <f t="shared" si="45"/>
        <v>52.168258035733984</v>
      </c>
      <c r="K71" s="143">
        <f t="shared" si="45"/>
        <v>55.55243501007729</v>
      </c>
      <c r="L71" s="143">
        <f t="shared" si="45"/>
        <v>59.15647413887068</v>
      </c>
      <c r="M71" s="143">
        <f t="shared" si="45"/>
        <v>62.99468063795021</v>
      </c>
      <c r="N71" s="143">
        <f t="shared" si="45"/>
        <v>67.0822918643002</v>
      </c>
      <c r="O71" s="143">
        <f t="shared" si="45"/>
        <v>71.43553814496498</v>
      </c>
      <c r="P71" s="143">
        <f t="shared" si="45"/>
        <v>76.07170758133671</v>
      </c>
      <c r="Q71" s="143">
        <f t="shared" si="45"/>
        <v>81.00921508900683</v>
      </c>
      <c r="R71" s="143">
        <f t="shared" si="45"/>
        <v>86.26767595042197</v>
      </c>
      <c r="S71" s="143">
        <f t="shared" si="45"/>
        <v>91.86798417576011</v>
      </c>
      <c r="T71" s="143">
        <f t="shared" si="45"/>
        <v>97.83239598680865</v>
      </c>
      <c r="U71" s="143">
        <f t="shared" si="45"/>
        <v>104.18461875926499</v>
      </c>
      <c r="V71" s="143">
        <f t="shared" si="45"/>
        <v>110.94990578087392</v>
      </c>
      <c r="W71" s="143">
        <f t="shared" si="45"/>
        <v>118.15515720625302</v>
      </c>
      <c r="X71" s="143">
        <f t="shared" si="45"/>
        <v>125.8290276142354</v>
      </c>
      <c r="Y71" s="143">
        <f t="shared" si="45"/>
        <v>134.0020406001758</v>
      </c>
      <c r="Z71" s="143">
        <f t="shared" si="45"/>
        <v>142.7067108640324</v>
      </c>
      <c r="AA71" s="143">
        <f t="shared" si="45"/>
        <v>151.97767428526538</v>
      </c>
      <c r="AB71" s="143">
        <f t="shared" si="45"/>
        <v>161.8518265078092</v>
      </c>
      <c r="AC71" s="143">
        <f t="shared" si="45"/>
        <v>172.36847059270676</v>
      </c>
      <c r="AD71" s="143">
        <f t="shared" si="45"/>
        <v>183.56947433258173</v>
      </c>
      <c r="AE71" s="143">
        <f t="shared" si="45"/>
        <v>195.4994378611174</v>
      </c>
      <c r="AF71" s="143">
        <f t="shared" si="45"/>
        <v>208.205872232265</v>
      </c>
    </row>
    <row r="72" spans="1:32" s="3" customFormat="1" ht="14.25" customHeight="1">
      <c r="A72" s="10" t="s">
        <v>18</v>
      </c>
      <c r="B72" s="31"/>
      <c r="C72" s="89">
        <f>C73*C74/1000</f>
        <v>24.878372093023255</v>
      </c>
      <c r="D72" s="89">
        <f aca="true" t="shared" si="46" ref="D72:AF72">D73*D74/1000</f>
        <v>26.682768965517244</v>
      </c>
      <c r="E72" s="89">
        <f t="shared" si="46"/>
        <v>28.710659406896557</v>
      </c>
      <c r="F72" s="89">
        <f t="shared" si="46"/>
        <v>30.289745674275864</v>
      </c>
      <c r="G72" s="89">
        <f t="shared" si="46"/>
        <v>32.25857914310379</v>
      </c>
      <c r="H72" s="89">
        <f t="shared" si="46"/>
        <v>34.355386787405536</v>
      </c>
      <c r="I72" s="89">
        <f t="shared" si="46"/>
        <v>36.588486928586896</v>
      </c>
      <c r="J72" s="89">
        <f t="shared" si="46"/>
        <v>38.96673857894504</v>
      </c>
      <c r="K72" s="89">
        <f t="shared" si="46"/>
        <v>41.49957658657647</v>
      </c>
      <c r="L72" s="89">
        <f t="shared" si="46"/>
        <v>44.19704906470393</v>
      </c>
      <c r="M72" s="89">
        <f t="shared" si="46"/>
        <v>47.06985725390969</v>
      </c>
      <c r="N72" s="89">
        <f t="shared" si="46"/>
        <v>50.12939797541381</v>
      </c>
      <c r="O72" s="89">
        <f t="shared" si="46"/>
        <v>53.387808843815705</v>
      </c>
      <c r="P72" s="89">
        <f t="shared" si="46"/>
        <v>56.85801641866372</v>
      </c>
      <c r="Q72" s="89">
        <f t="shared" si="46"/>
        <v>60.55378748587687</v>
      </c>
      <c r="R72" s="89">
        <f t="shared" si="46"/>
        <v>64.48978367245886</v>
      </c>
      <c r="S72" s="89">
        <f t="shared" si="46"/>
        <v>68.68161961116867</v>
      </c>
      <c r="T72" s="89">
        <f t="shared" si="46"/>
        <v>73.14592488589464</v>
      </c>
      <c r="U72" s="89">
        <f t="shared" si="46"/>
        <v>77.90041000347777</v>
      </c>
      <c r="V72" s="89">
        <f t="shared" si="46"/>
        <v>82.96393665370384</v>
      </c>
      <c r="W72" s="89">
        <f t="shared" si="46"/>
        <v>88.35659253619458</v>
      </c>
      <c r="X72" s="89">
        <f t="shared" si="46"/>
        <v>94.09977105104723</v>
      </c>
      <c r="Y72" s="89">
        <f t="shared" si="46"/>
        <v>100.2162561693653</v>
      </c>
      <c r="Z72" s="89">
        <f t="shared" si="46"/>
        <v>106.73031282037404</v>
      </c>
      <c r="AA72" s="89">
        <f t="shared" si="46"/>
        <v>113.66778315369834</v>
      </c>
      <c r="AB72" s="89">
        <f t="shared" si="46"/>
        <v>121.05618905868873</v>
      </c>
      <c r="AC72" s="89">
        <f t="shared" si="46"/>
        <v>128.9248413475035</v>
      </c>
      <c r="AD72" s="89">
        <f t="shared" si="46"/>
        <v>137.3049560350912</v>
      </c>
      <c r="AE72" s="89">
        <f t="shared" si="46"/>
        <v>146.2297781773721</v>
      </c>
      <c r="AF72" s="89">
        <f t="shared" si="46"/>
        <v>155.7347137589013</v>
      </c>
    </row>
    <row r="73" spans="1:32" s="293" customFormat="1" ht="30">
      <c r="A73" s="302" t="s">
        <v>90</v>
      </c>
      <c r="B73" s="291"/>
      <c r="C73" s="292">
        <f>'конкурсная документация'!C47*'конкурсные предложения'!B13/(1-'конкурсные предложения'!B11)</f>
        <v>1744.1860465116279</v>
      </c>
      <c r="D73" s="292">
        <f>'конкурсная документация'!D47*'конкурсные предложения'!C13/(1-'конкурсные предложения'!C11)</f>
        <v>1724.1379310344828</v>
      </c>
      <c r="E73" s="292">
        <f>'конкурсная документация'!E47*'конкурсные предложения'!D13/(1-'конкурсные предложения'!D11)</f>
        <v>1724.1379310344828</v>
      </c>
      <c r="F73" s="292">
        <f>'конкурсная документация'!F47*'конкурсные предложения'!E13/(1-'конкурсные предложения'!E11)</f>
        <v>1724.1379310344828</v>
      </c>
      <c r="G73" s="292">
        <f>'конкурсная документация'!G47*'конкурсные предложения'!F13/(1-'конкурсные предложения'!F11)</f>
        <v>1724.1379310344828</v>
      </c>
      <c r="H73" s="292">
        <f>'конкурсная документация'!H47*'конкурсные предложения'!G13/(1-'конкурсные предложения'!G11)</f>
        <v>1724.1379310344828</v>
      </c>
      <c r="I73" s="292">
        <f>'конкурсная документация'!I47*'конкурсные предложения'!H13/(1-'конкурсные предложения'!H11)</f>
        <v>1724.1379310344828</v>
      </c>
      <c r="J73" s="292">
        <f>'конкурсная документация'!J47*'конкурсные предложения'!I13/(1-'конкурсные предложения'!I11)</f>
        <v>1724.1379310344828</v>
      </c>
      <c r="K73" s="292">
        <f>'конкурсная документация'!K47*'конкурсные предложения'!J13/(1-'конкурсные предложения'!J11)</f>
        <v>1724.1379310344828</v>
      </c>
      <c r="L73" s="292">
        <f>'конкурсная документация'!L47*'конкурсные предложения'!K13/(1-'конкурсные предложения'!K11)</f>
        <v>1724.1379310344828</v>
      </c>
      <c r="M73" s="292">
        <f>'конкурсная документация'!M47*'конкурсные предложения'!L13/(1-'конкурсные предложения'!L11)</f>
        <v>1724.1379310344828</v>
      </c>
      <c r="N73" s="292">
        <f>'конкурсная документация'!N47*'конкурсные предложения'!M13/(1-'конкурсные предложения'!M11)</f>
        <v>1724.1379310344828</v>
      </c>
      <c r="O73" s="292">
        <f>'конкурсная документация'!O47*'конкурсные предложения'!N13/(1-'конкурсные предложения'!N11)</f>
        <v>1724.1379310344828</v>
      </c>
      <c r="P73" s="292">
        <f>'конкурсная документация'!P47*'конкурсные предложения'!O13/(1-'конкурсные предложения'!O11)</f>
        <v>1724.1379310344828</v>
      </c>
      <c r="Q73" s="292">
        <f>'конкурсная документация'!Q47*'конкурсные предложения'!P13/(1-'конкурсные предложения'!P11)</f>
        <v>1724.1379310344828</v>
      </c>
      <c r="R73" s="292">
        <f>'конкурсная документация'!R47*'конкурсные предложения'!Q13/(1-'конкурсные предложения'!Q11)</f>
        <v>1724.1379310344828</v>
      </c>
      <c r="S73" s="292">
        <f>'конкурсная документация'!S47*'конкурсные предложения'!R13/(1-'конкурсные предложения'!R11)</f>
        <v>1724.1379310344828</v>
      </c>
      <c r="T73" s="292">
        <f>'конкурсная документация'!T47*'конкурсные предложения'!S13/(1-'конкурсные предложения'!S11)</f>
        <v>1724.1379310344828</v>
      </c>
      <c r="U73" s="292">
        <f>'конкурсная документация'!U47*'конкурсные предложения'!T13/(1-'конкурсные предложения'!T11)</f>
        <v>1724.1379310344828</v>
      </c>
      <c r="V73" s="292">
        <f>'конкурсная документация'!V47*'конкурсные предложения'!U13/(1-'конкурсные предложения'!U11)</f>
        <v>1724.1379310344828</v>
      </c>
      <c r="W73" s="292">
        <f>'конкурсная документация'!W47*'конкурсные предложения'!V13/(1-'конкурсные предложения'!V11)</f>
        <v>1724.1379310344828</v>
      </c>
      <c r="X73" s="292">
        <f>'конкурсная документация'!X47*'конкурсные предложения'!W13/(1-'конкурсные предложения'!W11)</f>
        <v>1724.1379310344828</v>
      </c>
      <c r="Y73" s="292">
        <f>'конкурсная документация'!Y47*'конкурсные предложения'!X13/(1-'конкурсные предложения'!X11)</f>
        <v>1724.1379310344828</v>
      </c>
      <c r="Z73" s="292">
        <f>'конкурсная документация'!Z47*'конкурсные предложения'!Y13/(1-'конкурсные предложения'!Y11)</f>
        <v>1724.1379310344828</v>
      </c>
      <c r="AA73" s="292">
        <f>'конкурсная документация'!AA47*'конкурсные предложения'!Z13/(1-'конкурсные предложения'!Z11)</f>
        <v>1724.1379310344828</v>
      </c>
      <c r="AB73" s="292">
        <f>'конкурсная документация'!AB47*'конкурсные предложения'!AA13/(1-'конкурсные предложения'!AA11)</f>
        <v>1724.1379310344828</v>
      </c>
      <c r="AC73" s="292">
        <f>'конкурсная документация'!AC47*'конкурсные предложения'!AB13/(1-'конкурсные предложения'!AB11)</f>
        <v>1724.1379310344828</v>
      </c>
      <c r="AD73" s="292">
        <f>'конкурсная документация'!AD47*'конкурсные предложения'!AC13/(1-'конкурсные предложения'!AC11)</f>
        <v>1724.1379310344828</v>
      </c>
      <c r="AE73" s="292">
        <f>'конкурсная документация'!AE47*'конкурсные предложения'!AD13/(1-'конкурсные предложения'!AD11)</f>
        <v>1724.1379310344828</v>
      </c>
      <c r="AF73" s="292">
        <f>'конкурсная документация'!AF47*'конкурсные предложения'!AE13/(1-'конкурсные предложения'!AE11)</f>
        <v>1724.1379310344828</v>
      </c>
    </row>
    <row r="74" spans="1:32" s="293" customFormat="1" ht="15" customHeight="1">
      <c r="A74" s="302" t="s">
        <v>20</v>
      </c>
      <c r="B74" s="291"/>
      <c r="C74" s="292">
        <f>'конкурсная документация'!B16*(1+'конкурсная документация'!C21)</f>
        <v>14.2636</v>
      </c>
      <c r="D74" s="292">
        <f>C74*(1+'конкурсная документация'!D21)</f>
        <v>15.476006</v>
      </c>
      <c r="E74" s="292">
        <f>D74*(1+'конкурсная документация'!E21)</f>
        <v>16.652182456000002</v>
      </c>
      <c r="F74" s="292">
        <f>E74*(1+'конкурсная документация'!F21)</f>
        <v>17.56805249108</v>
      </c>
      <c r="G74" s="292">
        <f>F74*(1+'конкурсная документация'!G21)</f>
        <v>18.7099759030002</v>
      </c>
      <c r="H74" s="292">
        <f>G74*(1+'конкурсная документация'!H21)</f>
        <v>19.92612433669521</v>
      </c>
      <c r="I74" s="292">
        <f>H74*(1+'конкурсная документация'!I21)</f>
        <v>21.2213224185804</v>
      </c>
      <c r="J74" s="292">
        <f>I74*(1+'конкурсная документация'!J21)</f>
        <v>22.600708375788123</v>
      </c>
      <c r="K74" s="292">
        <f>J74*(1+'конкурсная документация'!K21)</f>
        <v>24.069754420214352</v>
      </c>
      <c r="L74" s="292">
        <f>K74*(1+'конкурсная документация'!L21)</f>
        <v>25.63428845752828</v>
      </c>
      <c r="M74" s="292">
        <f>L74*(1+'конкурсная документация'!M21)</f>
        <v>27.300517207267617</v>
      </c>
      <c r="N74" s="292">
        <f>M74*(1+'конкурсная документация'!N21)</f>
        <v>29.07505082574001</v>
      </c>
      <c r="O74" s="292">
        <f>N74*(1+'конкурсная документация'!O21)</f>
        <v>30.96492912941311</v>
      </c>
      <c r="P74" s="292">
        <f>O74*(1+'конкурсная документация'!P21)</f>
        <v>32.97764952282496</v>
      </c>
      <c r="Q74" s="292">
        <f>P74*(1+'конкурсная документация'!Q21)</f>
        <v>35.12119674180858</v>
      </c>
      <c r="R74" s="292">
        <f>Q74*(1+'конкурсная документация'!R21)</f>
        <v>37.404074530026136</v>
      </c>
      <c r="S74" s="292">
        <f>R74*(1+'конкурсная документация'!S21)</f>
        <v>39.83533937447783</v>
      </c>
      <c r="T74" s="292">
        <f>S74*(1+'конкурсная документация'!T21)</f>
        <v>42.42463643381889</v>
      </c>
      <c r="U74" s="292">
        <f>T74*(1+'конкурсная документация'!U21)</f>
        <v>45.18223780201711</v>
      </c>
      <c r="V74" s="292">
        <f>U74*(1+'конкурсная документация'!V21)</f>
        <v>48.119083259148226</v>
      </c>
      <c r="W74" s="292">
        <f>V74*(1+'конкурсная документация'!W21)</f>
        <v>51.24682367099286</v>
      </c>
      <c r="X74" s="292">
        <f>W74*(1+'конкурсная документация'!X21)</f>
        <v>54.57786720960739</v>
      </c>
      <c r="Y74" s="292">
        <f>X74*(1+'конкурсная документация'!Y21)</f>
        <v>58.12542857823187</v>
      </c>
      <c r="Z74" s="292">
        <f>Y74*(1+'конкурсная документация'!Z21)</f>
        <v>61.90358143581694</v>
      </c>
      <c r="AA74" s="292">
        <f>Z74*(1+'конкурсная документация'!AA21)</f>
        <v>65.92731422914504</v>
      </c>
      <c r="AB74" s="292">
        <f>AA74*(1+'конкурсная документация'!AB21)</f>
        <v>70.21258965403946</v>
      </c>
      <c r="AC74" s="292">
        <f>AB74*(1+'конкурсная документация'!AC21)</f>
        <v>74.77640798155203</v>
      </c>
      <c r="AD74" s="292">
        <f>AC74*(1+'конкурсная документация'!AD21)</f>
        <v>79.6368745003529</v>
      </c>
      <c r="AE74" s="292">
        <f>AD74*(1+'конкурсная документация'!AE21)</f>
        <v>84.81327134287584</v>
      </c>
      <c r="AF74" s="292">
        <f>AE74*(1+'конкурсная документация'!AF21)</f>
        <v>90.32613398016277</v>
      </c>
    </row>
    <row r="75" spans="1:32" s="3" customFormat="1" ht="15">
      <c r="A75" s="10" t="s">
        <v>60</v>
      </c>
      <c r="B75" s="31"/>
      <c r="C75" s="89">
        <f aca="true" t="shared" si="47" ref="C75:AF75">C76*C77/1000</f>
        <v>3.732558139534884</v>
      </c>
      <c r="D75" s="89">
        <f t="shared" si="47"/>
        <v>3.9479310344827594</v>
      </c>
      <c r="E75" s="89">
        <f t="shared" si="47"/>
        <v>4.224286206896553</v>
      </c>
      <c r="F75" s="89">
        <f t="shared" si="47"/>
        <v>4.519986241379312</v>
      </c>
      <c r="G75" s="89">
        <f t="shared" si="47"/>
        <v>4.8363852782758645</v>
      </c>
      <c r="H75" s="89">
        <f t="shared" si="47"/>
        <v>5.174932247755176</v>
      </c>
      <c r="I75" s="89">
        <f t="shared" si="47"/>
        <v>5.537177505098039</v>
      </c>
      <c r="J75" s="89">
        <f t="shared" si="47"/>
        <v>5.924779930454902</v>
      </c>
      <c r="K75" s="89">
        <f t="shared" si="47"/>
        <v>6.339514525586745</v>
      </c>
      <c r="L75" s="89">
        <f t="shared" si="47"/>
        <v>6.783280542377817</v>
      </c>
      <c r="M75" s="89">
        <f t="shared" si="47"/>
        <v>7.258110180344265</v>
      </c>
      <c r="N75" s="89">
        <f t="shared" si="47"/>
        <v>7.766177892968364</v>
      </c>
      <c r="O75" s="89">
        <f t="shared" si="47"/>
        <v>8.30981034547615</v>
      </c>
      <c r="P75" s="89">
        <f t="shared" si="47"/>
        <v>8.891497069659483</v>
      </c>
      <c r="Q75" s="89">
        <f t="shared" si="47"/>
        <v>9.513901864535647</v>
      </c>
      <c r="R75" s="89">
        <f t="shared" si="47"/>
        <v>10.179874995053142</v>
      </c>
      <c r="S75" s="89">
        <f t="shared" si="47"/>
        <v>10.892466244706862</v>
      </c>
      <c r="T75" s="89">
        <f t="shared" si="47"/>
        <v>11.654938881836346</v>
      </c>
      <c r="U75" s="89">
        <f t="shared" si="47"/>
        <v>12.470784603564889</v>
      </c>
      <c r="V75" s="89">
        <f t="shared" si="47"/>
        <v>13.343739525814433</v>
      </c>
      <c r="W75" s="89">
        <f t="shared" si="47"/>
        <v>14.277801292621445</v>
      </c>
      <c r="X75" s="89">
        <f t="shared" si="47"/>
        <v>15.277247383104948</v>
      </c>
      <c r="Y75" s="89">
        <f t="shared" si="47"/>
        <v>16.346654699922293</v>
      </c>
      <c r="Z75" s="89">
        <f t="shared" si="47"/>
        <v>17.490920528916853</v>
      </c>
      <c r="AA75" s="89">
        <f t="shared" si="47"/>
        <v>18.715284965941034</v>
      </c>
      <c r="AB75" s="89">
        <f t="shared" si="47"/>
        <v>20.025354913556907</v>
      </c>
      <c r="AC75" s="89">
        <f t="shared" si="47"/>
        <v>21.42712975750589</v>
      </c>
      <c r="AD75" s="89">
        <f t="shared" si="47"/>
        <v>22.927028840531307</v>
      </c>
      <c r="AE75" s="89">
        <f t="shared" si="47"/>
        <v>24.531920859368505</v>
      </c>
      <c r="AF75" s="89">
        <f t="shared" si="47"/>
        <v>26.2491553195243</v>
      </c>
    </row>
    <row r="76" spans="1:32" s="293" customFormat="1" ht="30">
      <c r="A76" s="302" t="s">
        <v>164</v>
      </c>
      <c r="B76" s="291"/>
      <c r="C76" s="292">
        <f>'конкурсные предложения'!B12*'конкурсная документация'!C47/(1-'конкурсные предложения'!B11)*(1-'конкурсная документация'!C31)</f>
        <v>348.83720930232556</v>
      </c>
      <c r="D76" s="292">
        <f>'конкурсные предложения'!C12*'конкурсная документация'!D47/(1-'конкурсные предложения'!C11)*(1-'конкурсная документация'!D31)</f>
        <v>344.82758620689657</v>
      </c>
      <c r="E76" s="292">
        <f>'конкурсные предложения'!D12*'конкурсная документация'!E47/(1-'конкурсные предложения'!D11)*(1-'конкурсная документация'!E31)</f>
        <v>344.82758620689657</v>
      </c>
      <c r="F76" s="292">
        <f>'конкурсные предложения'!E12*'конкурсная документация'!F47/(1-'конкурсные предложения'!E11)*(1-'конкурсная документация'!F31)</f>
        <v>344.82758620689657</v>
      </c>
      <c r="G76" s="292">
        <f>'конкурсные предложения'!F12*'конкурсная документация'!G47/(1-'конкурсные предложения'!F11)*(1-'конкурсная документация'!G31)</f>
        <v>344.82758620689657</v>
      </c>
      <c r="H76" s="292">
        <f>'конкурсные предложения'!G12*'конкурсная документация'!H47/(1-'конкурсные предложения'!G11)*(1-'конкурсная документация'!H31)</f>
        <v>344.82758620689657</v>
      </c>
      <c r="I76" s="292">
        <f>'конкурсные предложения'!H12*'конкурсная документация'!I47/(1-'конкурсные предложения'!H11)*(1-'конкурсная документация'!I31)</f>
        <v>344.82758620689657</v>
      </c>
      <c r="J76" s="292">
        <f>'конкурсные предложения'!I12*'конкурсная документация'!J47/(1-'конкурсные предложения'!I11)*(1-'конкурсная документация'!J31)</f>
        <v>344.82758620689657</v>
      </c>
      <c r="K76" s="292">
        <f>'конкурсные предложения'!J12*'конкурсная документация'!K47/(1-'конкурсные предложения'!J11)*(1-'конкурсная документация'!K31)</f>
        <v>344.82758620689657</v>
      </c>
      <c r="L76" s="292">
        <f>'конкурсные предложения'!K12*'конкурсная документация'!L47/(1-'конкурсные предложения'!K11)*(1-'конкурсная документация'!L31)</f>
        <v>344.82758620689657</v>
      </c>
      <c r="M76" s="292">
        <f>'конкурсные предложения'!L12*'конкурсная документация'!M47/(1-'конкурсные предложения'!L11)*(1-'конкурсная документация'!M31)</f>
        <v>344.82758620689657</v>
      </c>
      <c r="N76" s="292">
        <f>'конкурсные предложения'!M12*'конкурсная документация'!N47/(1-'конкурсные предложения'!M11)*(1-'конкурсная документация'!N31)</f>
        <v>344.82758620689657</v>
      </c>
      <c r="O76" s="292">
        <f>'конкурсные предложения'!N12*'конкурсная документация'!O47/(1-'конкурсные предложения'!N11)*(1-'конкурсная документация'!O31)</f>
        <v>344.82758620689657</v>
      </c>
      <c r="P76" s="292">
        <f>'конкурсные предложения'!O12*'конкурсная документация'!P47/(1-'конкурсные предложения'!O11)*(1-'конкурсная документация'!P31)</f>
        <v>344.82758620689657</v>
      </c>
      <c r="Q76" s="292">
        <f>'конкурсные предложения'!P12*'конкурсная документация'!Q47/(1-'конкурсные предложения'!P11)*(1-'конкурсная документация'!Q31)</f>
        <v>344.82758620689657</v>
      </c>
      <c r="R76" s="292">
        <f>'конкурсные предложения'!Q12*'конкурсная документация'!R47/(1-'конкурсные предложения'!Q11)*(1-'конкурсная документация'!R31)</f>
        <v>344.82758620689657</v>
      </c>
      <c r="S76" s="292">
        <f>'конкурсные предложения'!R12*'конкурсная документация'!S47/(1-'конкурсные предложения'!R11)*(1-'конкурсная документация'!S31)</f>
        <v>344.82758620689657</v>
      </c>
      <c r="T76" s="292">
        <f>'конкурсные предложения'!S12*'конкурсная документация'!T47/(1-'конкурсные предложения'!S11)*(1-'конкурсная документация'!T31)</f>
        <v>344.82758620689657</v>
      </c>
      <c r="U76" s="292">
        <f>'конкурсные предложения'!T12*'конкурсная документация'!U47/(1-'конкурсные предложения'!T11)*(1-'конкурсная документация'!U31)</f>
        <v>344.82758620689657</v>
      </c>
      <c r="V76" s="292">
        <f>'конкурсные предложения'!U12*'конкурсная документация'!V47/(1-'конкурсные предложения'!U11)*(1-'конкурсная документация'!V31)</f>
        <v>344.82758620689657</v>
      </c>
      <c r="W76" s="292">
        <f>'конкурсные предложения'!V12*'конкурсная документация'!W47/(1-'конкурсные предложения'!V11)*(1-'конкурсная документация'!W31)</f>
        <v>344.82758620689657</v>
      </c>
      <c r="X76" s="292">
        <f>'конкурсные предложения'!W12*'конкурсная документация'!X47/(1-'конкурсные предложения'!W11)*(1-'конкурсная документация'!X31)</f>
        <v>344.82758620689657</v>
      </c>
      <c r="Y76" s="292">
        <f>'конкурсные предложения'!X12*'конкурсная документация'!Y47/(1-'конкурсные предложения'!X11)*(1-'конкурсная документация'!Y31)</f>
        <v>344.82758620689657</v>
      </c>
      <c r="Z76" s="292">
        <f>'конкурсные предложения'!Y12*'конкурсная документация'!Z47/(1-'конкурсные предложения'!Y11)*(1-'конкурсная документация'!Z31)</f>
        <v>344.82758620689657</v>
      </c>
      <c r="AA76" s="292">
        <f>'конкурсные предложения'!Z12*'конкурсная документация'!AA47/(1-'конкурсные предложения'!Z11)*(1-'конкурсная документация'!AA31)</f>
        <v>344.82758620689657</v>
      </c>
      <c r="AB76" s="292">
        <f>'конкурсные предложения'!AA12*'конкурсная документация'!AB47/(1-'конкурсные предложения'!AA11)*(1-'конкурсная документация'!AB31)</f>
        <v>344.82758620689657</v>
      </c>
      <c r="AC76" s="292">
        <f>'конкурсные предложения'!AB12*'конкурсная документация'!AC47/(1-'конкурсные предложения'!AB11)*(1-'конкурсная документация'!AC31)</f>
        <v>344.82758620689657</v>
      </c>
      <c r="AD76" s="292">
        <f>'конкурсные предложения'!AC12*'конкурсная документация'!AD47/(1-'конкурсные предложения'!AC11)*(1-'конкурсная документация'!AD31)</f>
        <v>344.82758620689657</v>
      </c>
      <c r="AE76" s="292">
        <f>'конкурсные предложения'!AD12*'конкурсная документация'!AE47/(1-'конкурсные предложения'!AD11)*(1-'конкурсная документация'!AE31)</f>
        <v>344.82758620689657</v>
      </c>
      <c r="AF76" s="292">
        <f>'конкурсные предложения'!AE12*'конкурсная документация'!AF47/(1-'конкурсные предложения'!AE11)*(1-'конкурсная документация'!AF31)</f>
        <v>344.82758620689657</v>
      </c>
    </row>
    <row r="77" spans="1:32" s="3" customFormat="1" ht="29.25" customHeight="1">
      <c r="A77" s="11" t="s">
        <v>93</v>
      </c>
      <c r="B77" s="33"/>
      <c r="C77" s="86">
        <f>'конкурсная документация'!B12*(1+'конкурсная документация'!C18)</f>
        <v>10.700000000000001</v>
      </c>
      <c r="D77" s="86">
        <f>C77*(1+'конкурсная документация'!D18)</f>
        <v>11.449000000000002</v>
      </c>
      <c r="E77" s="86">
        <f>D77*(1+'конкурсная документация'!E18)</f>
        <v>12.250430000000003</v>
      </c>
      <c r="F77" s="86">
        <f>E77*(1+'конкурсная документация'!F18)</f>
        <v>13.107960100000005</v>
      </c>
      <c r="G77" s="86">
        <f>F77*(1+'конкурсная документация'!G18)</f>
        <v>14.025517307000007</v>
      </c>
      <c r="H77" s="86">
        <f>G77*(1+'конкурсная документация'!H18)</f>
        <v>15.007303518490009</v>
      </c>
      <c r="I77" s="86">
        <f>H77*(1+'конкурсная документация'!I18)</f>
        <v>16.05781476478431</v>
      </c>
      <c r="J77" s="86">
        <f>I77*(1+'конкурсная документация'!J18)</f>
        <v>17.181861798319215</v>
      </c>
      <c r="K77" s="86">
        <f>J77*(1+'конкурсная документация'!K18)</f>
        <v>18.38459212420156</v>
      </c>
      <c r="L77" s="86">
        <f>K77*(1+'конкурсная документация'!L18)</f>
        <v>19.67151357289567</v>
      </c>
      <c r="M77" s="86">
        <f>L77*(1+'конкурсная документация'!M18)</f>
        <v>21.04851952299837</v>
      </c>
      <c r="N77" s="86">
        <f>M77*(1+'конкурсная документация'!N18)</f>
        <v>22.521915889608255</v>
      </c>
      <c r="O77" s="86">
        <f>N77*(1+'конкурсная документация'!O18)</f>
        <v>24.098450001880835</v>
      </c>
      <c r="P77" s="86">
        <f>O77*(1+'конкурсная документация'!P18)</f>
        <v>25.785341502012496</v>
      </c>
      <c r="Q77" s="86">
        <f>P77*(1+'конкурсная документация'!Q18)</f>
        <v>27.590315407153373</v>
      </c>
      <c r="R77" s="86">
        <f>Q77*(1+'конкурсная документация'!R18)</f>
        <v>29.52163748565411</v>
      </c>
      <c r="S77" s="86">
        <f>R77*(1+'конкурсная документация'!S18)</f>
        <v>31.5881521096499</v>
      </c>
      <c r="T77" s="86">
        <f>S77*(1+'конкурсная документация'!T18)</f>
        <v>33.7993227573254</v>
      </c>
      <c r="U77" s="86">
        <f>T77*(1+'конкурсная документация'!U18)</f>
        <v>36.16527535033818</v>
      </c>
      <c r="V77" s="86">
        <f>U77*(1+'конкурсная документация'!V18)</f>
        <v>38.69684462486185</v>
      </c>
      <c r="W77" s="86">
        <f>V77*(1+'конкурсная документация'!W18)</f>
        <v>41.40562374860219</v>
      </c>
      <c r="X77" s="86">
        <f>W77*(1+'конкурсная документация'!X18)</f>
        <v>44.304017411004345</v>
      </c>
      <c r="Y77" s="86">
        <f>X77*(1+'конкурсная документация'!Y18)</f>
        <v>47.40529862977465</v>
      </c>
      <c r="Z77" s="86">
        <f>Y77*(1+'конкурсная документация'!Z18)</f>
        <v>50.723669533858875</v>
      </c>
      <c r="AA77" s="86">
        <f>Z77*(1+'конкурсная документация'!AA18)</f>
        <v>54.274326401229</v>
      </c>
      <c r="AB77" s="86">
        <f>AA77*(1+'конкурсная документация'!AB18)</f>
        <v>58.07352924931503</v>
      </c>
      <c r="AC77" s="86">
        <f>AB77*(1+'конкурсная документация'!AC18)</f>
        <v>62.13867629676709</v>
      </c>
      <c r="AD77" s="86">
        <f>AC77*(1+'конкурсная документация'!AD18)</f>
        <v>66.48838363754079</v>
      </c>
      <c r="AE77" s="86">
        <f>AD77*(1+'конкурсная документация'!AE18)</f>
        <v>71.14257049216866</v>
      </c>
      <c r="AF77" s="86">
        <f>AE77*(1+'конкурсная документация'!AF18)</f>
        <v>76.12255042662046</v>
      </c>
    </row>
    <row r="78" spans="1:32" s="3" customFormat="1" ht="16.5" customHeight="1">
      <c r="A78" s="10" t="s">
        <v>97</v>
      </c>
      <c r="B78" s="33"/>
      <c r="C78" s="89">
        <f aca="true" t="shared" si="48" ref="C78:AF78">C79*C80/1000</f>
        <v>1.761627906976744</v>
      </c>
      <c r="D78" s="89">
        <f t="shared" si="48"/>
        <v>1.8806896551724137</v>
      </c>
      <c r="E78" s="89">
        <f t="shared" si="48"/>
        <v>2.031144827586207</v>
      </c>
      <c r="F78" s="89">
        <f t="shared" si="48"/>
        <v>2.1733249655172417</v>
      </c>
      <c r="G78" s="89">
        <f t="shared" si="48"/>
        <v>2.3037244634482765</v>
      </c>
      <c r="H78" s="89">
        <f t="shared" si="48"/>
        <v>2.441947931255173</v>
      </c>
      <c r="I78" s="89">
        <f t="shared" si="48"/>
        <v>2.588464807130484</v>
      </c>
      <c r="J78" s="89">
        <f t="shared" si="48"/>
        <v>2.743772695558313</v>
      </c>
      <c r="K78" s="89">
        <f t="shared" si="48"/>
        <v>2.908399057291812</v>
      </c>
      <c r="L78" s="89">
        <f t="shared" si="48"/>
        <v>3.082903000729321</v>
      </c>
      <c r="M78" s="89">
        <f t="shared" si="48"/>
        <v>3.26787718077308</v>
      </c>
      <c r="N78" s="89">
        <f t="shared" si="48"/>
        <v>3.4639498116194654</v>
      </c>
      <c r="O78" s="89">
        <f t="shared" si="48"/>
        <v>3.6717868003166334</v>
      </c>
      <c r="P78" s="89">
        <f t="shared" si="48"/>
        <v>3.892094008335632</v>
      </c>
      <c r="Q78" s="89">
        <f t="shared" si="48"/>
        <v>4.12561964883577</v>
      </c>
      <c r="R78" s="89">
        <f t="shared" si="48"/>
        <v>4.373156827765916</v>
      </c>
      <c r="S78" s="89">
        <f t="shared" si="48"/>
        <v>4.635546237431872</v>
      </c>
      <c r="T78" s="89">
        <f t="shared" si="48"/>
        <v>4.913679011677785</v>
      </c>
      <c r="U78" s="89">
        <f t="shared" si="48"/>
        <v>5.208499752378453</v>
      </c>
      <c r="V78" s="89">
        <f t="shared" si="48"/>
        <v>5.521009737521159</v>
      </c>
      <c r="W78" s="89">
        <f t="shared" si="48"/>
        <v>5.852270321772428</v>
      </c>
      <c r="X78" s="89">
        <f t="shared" si="48"/>
        <v>6.203406541078774</v>
      </c>
      <c r="Y78" s="89">
        <f t="shared" si="48"/>
        <v>6.5756109335435005</v>
      </c>
      <c r="Z78" s="89">
        <f t="shared" si="48"/>
        <v>6.970147589556111</v>
      </c>
      <c r="AA78" s="89">
        <f t="shared" si="48"/>
        <v>7.388356444929478</v>
      </c>
      <c r="AB78" s="89">
        <f t="shared" si="48"/>
        <v>7.831657831625247</v>
      </c>
      <c r="AC78" s="89">
        <f t="shared" si="48"/>
        <v>8.301557301522763</v>
      </c>
      <c r="AD78" s="89">
        <f t="shared" si="48"/>
        <v>8.79965073961413</v>
      </c>
      <c r="AE78" s="89">
        <f t="shared" si="48"/>
        <v>9.327629783990979</v>
      </c>
      <c r="AF78" s="89">
        <f t="shared" si="48"/>
        <v>9.887287571030438</v>
      </c>
    </row>
    <row r="79" spans="1:32" s="293" customFormat="1" ht="31.5" customHeight="1">
      <c r="A79" s="302" t="s">
        <v>219</v>
      </c>
      <c r="B79" s="291"/>
      <c r="C79" s="292">
        <f>'конкурсная документация'!C47/(1-'конкурсные предложения'!B11)*'конкурсная документация'!C31</f>
        <v>174.41860465116278</v>
      </c>
      <c r="D79" s="292">
        <f>'конкурсная документация'!D47/(1-'конкурсные предложения'!C11)*'конкурсная документация'!D31</f>
        <v>172.41379310344828</v>
      </c>
      <c r="E79" s="292">
        <f>'конкурсная документация'!E47/(1-'конкурсные предложения'!D11)*'конкурсная документация'!E31</f>
        <v>172.41379310344828</v>
      </c>
      <c r="F79" s="292">
        <f>'конкурсная документация'!F47/(1-'конкурсные предложения'!E11)*'конкурсная документация'!F31</f>
        <v>172.41379310344828</v>
      </c>
      <c r="G79" s="292">
        <f>'конкурсная документация'!G47/(1-'конкурсные предложения'!F11)*'конкурсная документация'!G31</f>
        <v>172.41379310344828</v>
      </c>
      <c r="H79" s="292">
        <f>'конкурсная документация'!H47/(1-'конкурсные предложения'!G11)*'конкурсная документация'!H31</f>
        <v>172.41379310344828</v>
      </c>
      <c r="I79" s="292">
        <f>'конкурсная документация'!I47/(1-'конкурсные предложения'!H11)*'конкурсная документация'!I31</f>
        <v>172.41379310344828</v>
      </c>
      <c r="J79" s="292">
        <f>'конкурсная документация'!J47/(1-'конкурсные предложения'!I11)*'конкурсная документация'!J31</f>
        <v>172.41379310344828</v>
      </c>
      <c r="K79" s="292">
        <f>'конкурсная документация'!K47/(1-'конкурсные предложения'!J11)*'конкурсная документация'!K31</f>
        <v>172.41379310344828</v>
      </c>
      <c r="L79" s="292">
        <f>'конкурсная документация'!L47/(1-'конкурсные предложения'!K11)*'конкурсная документация'!L31</f>
        <v>172.41379310344828</v>
      </c>
      <c r="M79" s="292">
        <f>'конкурсная документация'!M47/(1-'конкурсные предложения'!L11)*'конкурсная документация'!M31</f>
        <v>172.41379310344828</v>
      </c>
      <c r="N79" s="292">
        <f>'конкурсная документация'!N47/(1-'конкурсные предложения'!M11)*'конкурсная документация'!N31</f>
        <v>172.41379310344828</v>
      </c>
      <c r="O79" s="292">
        <f>'конкурсная документация'!O47/(1-'конкурсные предложения'!N11)*'конкурсная документация'!O31</f>
        <v>172.41379310344828</v>
      </c>
      <c r="P79" s="292">
        <f>'конкурсная документация'!P47/(1-'конкурсные предложения'!O11)*'конкурсная документация'!P31</f>
        <v>172.41379310344828</v>
      </c>
      <c r="Q79" s="292">
        <f>'конкурсная документация'!Q47/(1-'конкурсные предложения'!P11)*'конкурсная документация'!Q31</f>
        <v>172.41379310344828</v>
      </c>
      <c r="R79" s="292">
        <f>'конкурсная документация'!R47/(1-'конкурсные предложения'!Q11)*'конкурсная документация'!R31</f>
        <v>172.41379310344828</v>
      </c>
      <c r="S79" s="292">
        <f>'конкурсная документация'!S47/(1-'конкурсные предложения'!R11)*'конкурсная документация'!S31</f>
        <v>172.41379310344828</v>
      </c>
      <c r="T79" s="292">
        <f>'конкурсная документация'!T47/(1-'конкурсные предложения'!S11)*'конкурсная документация'!T31</f>
        <v>172.41379310344828</v>
      </c>
      <c r="U79" s="292">
        <f>'конкурсная документация'!U47/(1-'конкурсные предложения'!T11)*'конкурсная документация'!U31</f>
        <v>172.41379310344828</v>
      </c>
      <c r="V79" s="292">
        <f>'конкурсная документация'!V47/(1-'конкурсные предложения'!U11)*'конкурсная документация'!V31</f>
        <v>172.41379310344828</v>
      </c>
      <c r="W79" s="292">
        <f>'конкурсная документация'!W47/(1-'конкурсные предложения'!V11)*'конкурсная документация'!W31</f>
        <v>172.41379310344828</v>
      </c>
      <c r="X79" s="292">
        <f>'конкурсная документация'!X47/(1-'конкурсные предложения'!W11)*'конкурсная документация'!X31</f>
        <v>172.41379310344828</v>
      </c>
      <c r="Y79" s="292">
        <f>'конкурсная документация'!Y47/(1-'конкурсные предложения'!X11)*'конкурсная документация'!Y31</f>
        <v>172.41379310344828</v>
      </c>
      <c r="Z79" s="292">
        <f>'конкурсная документация'!Z47/(1-'конкурсные предложения'!Y11)*'конкурсная документация'!Z31</f>
        <v>172.41379310344828</v>
      </c>
      <c r="AA79" s="292">
        <f>'конкурсная документация'!AA47/(1-'конкурсные предложения'!Z11)*'конкурсная документация'!AA31</f>
        <v>172.41379310344828</v>
      </c>
      <c r="AB79" s="292">
        <f>'конкурсная документация'!AB47/(1-'конкурсные предложения'!AA11)*'конкурсная документация'!AB31</f>
        <v>172.41379310344828</v>
      </c>
      <c r="AC79" s="292">
        <f>'конкурсная документация'!AC47/(1-'конкурсные предложения'!AB11)*'конкурсная документация'!AC31</f>
        <v>172.41379310344828</v>
      </c>
      <c r="AD79" s="292">
        <f>'конкурсная документация'!AD47/(1-'конкурсные предложения'!AC11)*'конкурсная документация'!AD31</f>
        <v>172.41379310344828</v>
      </c>
      <c r="AE79" s="292">
        <f>'конкурсная документация'!AE47/(1-'конкурсные предложения'!AD11)*'конкурсная документация'!AE31</f>
        <v>172.41379310344828</v>
      </c>
      <c r="AF79" s="292">
        <f>'конкурсная документация'!AF47/(1-'конкурсные предложения'!AE11)*'конкурсная документация'!AF31</f>
        <v>172.41379310344828</v>
      </c>
    </row>
    <row r="80" spans="1:32" s="306" customFormat="1" ht="45" customHeight="1">
      <c r="A80" s="303" t="s">
        <v>96</v>
      </c>
      <c r="B80" s="304"/>
      <c r="C80" s="305">
        <f>'конкурсная документация'!$B$13*(1+'конкурсная документация'!C22)</f>
        <v>10.1</v>
      </c>
      <c r="D80" s="305">
        <f>C80*(1+'конкурсная документация'!D22)</f>
        <v>10.908</v>
      </c>
      <c r="E80" s="305">
        <f>D80*(1+'конкурсная документация'!E22)</f>
        <v>11.78064</v>
      </c>
      <c r="F80" s="305">
        <f>E80*(1+'конкурсная документация'!F22)</f>
        <v>12.605284800000002</v>
      </c>
      <c r="G80" s="305">
        <f>F80*(1+'конкурсная документация'!G22)</f>
        <v>13.361601888000003</v>
      </c>
      <c r="H80" s="305">
        <f>G80*(1+'конкурсная документация'!H22)</f>
        <v>14.163298001280003</v>
      </c>
      <c r="I80" s="305">
        <f>H80*(1+'конкурсная документация'!I22)</f>
        <v>15.013095881356804</v>
      </c>
      <c r="J80" s="305">
        <f>I80*(1+'конкурсная документация'!J22)</f>
        <v>15.913881634238214</v>
      </c>
      <c r="K80" s="305">
        <f>J80*(1+'конкурсная документация'!K22)</f>
        <v>16.868714532292508</v>
      </c>
      <c r="L80" s="305">
        <f>K80*(1+'конкурсная документация'!L22)</f>
        <v>17.88083740423006</v>
      </c>
      <c r="M80" s="305">
        <f>L80*(1+'конкурсная документация'!M22)</f>
        <v>18.953687648483864</v>
      </c>
      <c r="N80" s="305">
        <f>M80*(1+'конкурсная документация'!N22)</f>
        <v>20.090908907392897</v>
      </c>
      <c r="O80" s="305">
        <f>N80*(1+'конкурсная документация'!O22)</f>
        <v>21.296363441836473</v>
      </c>
      <c r="P80" s="305">
        <f>O80*(1+'конкурсная документация'!P22)</f>
        <v>22.574145248346664</v>
      </c>
      <c r="Q80" s="305">
        <f>P80*(1+'конкурсная документация'!Q22)</f>
        <v>23.928593963247465</v>
      </c>
      <c r="R80" s="305">
        <f>Q80*(1+'конкурсная документация'!R22)</f>
        <v>25.364309601042315</v>
      </c>
      <c r="S80" s="305">
        <f>R80*(1+'конкурсная документация'!S22)</f>
        <v>26.886168177104857</v>
      </c>
      <c r="T80" s="305">
        <f>S80*(1+'конкурсная документация'!T22)</f>
        <v>28.49933826773115</v>
      </c>
      <c r="U80" s="305">
        <f>T80*(1+'конкурсная документация'!U22)</f>
        <v>30.20929856379502</v>
      </c>
      <c r="V80" s="305">
        <f>U80*(1+'конкурсная документация'!V22)</f>
        <v>32.02185647762272</v>
      </c>
      <c r="W80" s="305">
        <f>V80*(1+'конкурсная документация'!W22)</f>
        <v>33.943167866280085</v>
      </c>
      <c r="X80" s="305">
        <f>W80*(1+'конкурсная документация'!X22)</f>
        <v>35.97975793825689</v>
      </c>
      <c r="Y80" s="305">
        <f>X80*(1+'конкурсная документация'!Y22)</f>
        <v>38.1385434145523</v>
      </c>
      <c r="Z80" s="305">
        <f>Y80*(1+'конкурсная документация'!Z22)</f>
        <v>40.42685601942544</v>
      </c>
      <c r="AA80" s="305">
        <f>Z80*(1+'конкурсная документация'!AA22)</f>
        <v>42.85246738059097</v>
      </c>
      <c r="AB80" s="305">
        <f>AA80*(1+'конкурсная документация'!AB22)</f>
        <v>45.42361542342643</v>
      </c>
      <c r="AC80" s="305">
        <f>AB80*(1+'конкурсная документация'!AC22)</f>
        <v>48.14903234883202</v>
      </c>
      <c r="AD80" s="305">
        <f>AC80*(1+'конкурсная документация'!AD22)</f>
        <v>51.03797428976195</v>
      </c>
      <c r="AE80" s="305">
        <f>AD80*(1+'конкурсная документация'!AE22)</f>
        <v>54.10025274714767</v>
      </c>
      <c r="AF80" s="305">
        <f>AE80*(1+'конкурсная документация'!AF22)</f>
        <v>57.34626791197653</v>
      </c>
    </row>
    <row r="81" spans="1:32" s="3" customFormat="1" ht="45" customHeight="1">
      <c r="A81" s="113" t="s">
        <v>129</v>
      </c>
      <c r="B81" s="33"/>
      <c r="C81" s="86">
        <f>C82*C83/1000</f>
        <v>2.8779069767441863</v>
      </c>
      <c r="D81" s="86">
        <f aca="true" t="shared" si="49" ref="D81:AF81">D82*D83/1000</f>
        <v>3.165697674418605</v>
      </c>
      <c r="E81" s="86">
        <f t="shared" si="49"/>
        <v>3.3872965116279072</v>
      </c>
      <c r="F81" s="86">
        <f t="shared" si="49"/>
        <v>3.5905343023255822</v>
      </c>
      <c r="G81" s="86">
        <f t="shared" si="49"/>
        <v>3.8059663604651175</v>
      </c>
      <c r="H81" s="86">
        <f t="shared" si="49"/>
        <v>4.034324342093024</v>
      </c>
      <c r="I81" s="86">
        <f t="shared" si="49"/>
        <v>4.276383802618607</v>
      </c>
      <c r="J81" s="86">
        <f t="shared" si="49"/>
        <v>4.532966830775724</v>
      </c>
      <c r="K81" s="86">
        <f t="shared" si="49"/>
        <v>4.804944840622268</v>
      </c>
      <c r="L81" s="86">
        <f t="shared" si="49"/>
        <v>5.093241531059603</v>
      </c>
      <c r="M81" s="86">
        <f t="shared" si="49"/>
        <v>5.398836022923179</v>
      </c>
      <c r="N81" s="86">
        <f t="shared" si="49"/>
        <v>5.722766184298571</v>
      </c>
      <c r="O81" s="86">
        <f t="shared" si="49"/>
        <v>6.0661321553564855</v>
      </c>
      <c r="P81" s="86">
        <f t="shared" si="49"/>
        <v>6.430100084677875</v>
      </c>
      <c r="Q81" s="86">
        <f t="shared" si="49"/>
        <v>6.815906089758549</v>
      </c>
      <c r="R81" s="86">
        <f t="shared" si="49"/>
        <v>7.2248604551440625</v>
      </c>
      <c r="S81" s="86">
        <f t="shared" si="49"/>
        <v>7.658352082452707</v>
      </c>
      <c r="T81" s="86">
        <f t="shared" si="49"/>
        <v>8.11785320739987</v>
      </c>
      <c r="U81" s="86">
        <f t="shared" si="49"/>
        <v>8.604924399843863</v>
      </c>
      <c r="V81" s="86">
        <f t="shared" si="49"/>
        <v>9.121219863834495</v>
      </c>
      <c r="W81" s="86">
        <f t="shared" si="49"/>
        <v>9.668493055664564</v>
      </c>
      <c r="X81" s="86">
        <f t="shared" si="49"/>
        <v>10.24860263900444</v>
      </c>
      <c r="Y81" s="86">
        <f t="shared" si="49"/>
        <v>10.863518797344708</v>
      </c>
      <c r="Z81" s="86">
        <f t="shared" si="49"/>
        <v>11.515329925185391</v>
      </c>
      <c r="AA81" s="86">
        <f t="shared" si="49"/>
        <v>12.206249720696515</v>
      </c>
      <c r="AB81" s="86">
        <f t="shared" si="49"/>
        <v>12.93862470393831</v>
      </c>
      <c r="AC81" s="86">
        <f t="shared" si="49"/>
        <v>13.714942186174607</v>
      </c>
      <c r="AD81" s="86">
        <f t="shared" si="49"/>
        <v>14.537838717345085</v>
      </c>
      <c r="AE81" s="86">
        <f t="shared" si="49"/>
        <v>15.410109040385793</v>
      </c>
      <c r="AF81" s="86">
        <f t="shared" si="49"/>
        <v>16.33471558280894</v>
      </c>
    </row>
    <row r="82" spans="1:33" s="293" customFormat="1" ht="64.5" customHeight="1">
      <c r="A82" s="302" t="s">
        <v>132</v>
      </c>
      <c r="B82" s="291"/>
      <c r="C82" s="292">
        <f>'конкурсная документация'!C$33*'конкурсная документация'!C47/(1-'конкурсные предложения'!$B$11)</f>
        <v>174.41860465116278</v>
      </c>
      <c r="D82" s="292">
        <f>'конкурсная документация'!D$33*'конкурсная документация'!D47/(1-'конкурсные предложения'!$B$11)</f>
        <v>174.41860465116278</v>
      </c>
      <c r="E82" s="292">
        <f>'конкурсная документация'!E$33*'конкурсная документация'!E47/(1-'конкурсные предложения'!$B$11)</f>
        <v>174.41860465116278</v>
      </c>
      <c r="F82" s="292">
        <f>'конкурсная документация'!F$33*'конкурсная документация'!F47/(1-'конкурсные предложения'!$B$11)</f>
        <v>174.41860465116278</v>
      </c>
      <c r="G82" s="292">
        <f>'конкурсная документация'!G$33*'конкурсная документация'!G47/(1-'конкурсные предложения'!$B$11)</f>
        <v>174.41860465116278</v>
      </c>
      <c r="H82" s="292">
        <f>'конкурсная документация'!H$33*'конкурсная документация'!H47/(1-'конкурсные предложения'!$B$11)</f>
        <v>174.41860465116278</v>
      </c>
      <c r="I82" s="292">
        <f>'конкурсная документация'!I$33*'конкурсная документация'!I47/(1-'конкурсные предложения'!$B$11)</f>
        <v>174.41860465116278</v>
      </c>
      <c r="J82" s="292">
        <f>'конкурсная документация'!J$33*'конкурсная документация'!J47/(1-'конкурсные предложения'!$B$11)</f>
        <v>174.41860465116278</v>
      </c>
      <c r="K82" s="292">
        <f>'конкурсная документация'!K$33*'конкурсная документация'!K47/(1-'конкурсные предложения'!$B$11)</f>
        <v>174.41860465116278</v>
      </c>
      <c r="L82" s="292">
        <f>'конкурсная документация'!L$33*'конкурсная документация'!L47/(1-'конкурсные предложения'!$B$11)</f>
        <v>174.41860465116278</v>
      </c>
      <c r="M82" s="292">
        <f>'конкурсная документация'!M$33*'конкурсная документация'!M47/(1-'конкурсные предложения'!$B$11)</f>
        <v>174.41860465116278</v>
      </c>
      <c r="N82" s="292">
        <f>'конкурсная документация'!N$33*'конкурсная документация'!N47/(1-'конкурсные предложения'!$B$11)</f>
        <v>174.41860465116278</v>
      </c>
      <c r="O82" s="292">
        <f>'конкурсная документация'!O$33*'конкурсная документация'!O47/(1-'конкурсные предложения'!$B$11)</f>
        <v>174.41860465116278</v>
      </c>
      <c r="P82" s="292">
        <f>'конкурсная документация'!P$33*'конкурсная документация'!P47/(1-'конкурсные предложения'!$B$11)</f>
        <v>174.41860465116278</v>
      </c>
      <c r="Q82" s="292">
        <f>'конкурсная документация'!Q$33*'конкурсная документация'!Q47/(1-'конкурсные предложения'!$B$11)</f>
        <v>174.41860465116278</v>
      </c>
      <c r="R82" s="292">
        <f>'конкурсная документация'!R$33*'конкурсная документация'!R47/(1-'конкурсные предложения'!$B$11)</f>
        <v>174.41860465116278</v>
      </c>
      <c r="S82" s="292">
        <f>'конкурсная документация'!S$33*'конкурсная документация'!S47/(1-'конкурсные предложения'!$B$11)</f>
        <v>174.41860465116278</v>
      </c>
      <c r="T82" s="292">
        <f>'конкурсная документация'!T$33*'конкурсная документация'!T47/(1-'конкурсные предложения'!$B$11)</f>
        <v>174.41860465116278</v>
      </c>
      <c r="U82" s="292">
        <f>'конкурсная документация'!U$33*'конкурсная документация'!U47/(1-'конкурсные предложения'!$B$11)</f>
        <v>174.41860465116278</v>
      </c>
      <c r="V82" s="292">
        <f>'конкурсная документация'!V$33*'конкурсная документация'!V47/(1-'конкурсные предложения'!$B$11)</f>
        <v>174.41860465116278</v>
      </c>
      <c r="W82" s="292">
        <f>'конкурсная документация'!W$33*'конкурсная документация'!W47/(1-'конкурсные предложения'!$B$11)</f>
        <v>174.41860465116278</v>
      </c>
      <c r="X82" s="292">
        <f>'конкурсная документация'!X$33*'конкурсная документация'!X47/(1-'конкурсные предложения'!$B$11)</f>
        <v>174.41860465116278</v>
      </c>
      <c r="Y82" s="292">
        <f>'конкурсная документация'!Y$33*'конкурсная документация'!Y47/(1-'конкурсные предложения'!$B$11)</f>
        <v>174.41860465116278</v>
      </c>
      <c r="Z82" s="292">
        <f>'конкурсная документация'!Z$33*'конкурсная документация'!Z47/(1-'конкурсные предложения'!$B$11)</f>
        <v>174.41860465116278</v>
      </c>
      <c r="AA82" s="292">
        <f>'конкурсная документация'!AA$33*'конкурсная документация'!AA47/(1-'конкурсные предложения'!$B$11)</f>
        <v>174.41860465116278</v>
      </c>
      <c r="AB82" s="292">
        <f>'конкурсная документация'!AB$33*'конкурсная документация'!AB47/(1-'конкурсные предложения'!$B$11)</f>
        <v>174.41860465116278</v>
      </c>
      <c r="AC82" s="292">
        <f>'конкурсная документация'!AC$33*'конкурсная документация'!AC47/(1-'конкурсные предложения'!$B$11)</f>
        <v>174.41860465116278</v>
      </c>
      <c r="AD82" s="292">
        <f>'конкурсная документация'!AD$33*'конкурсная документация'!AD47/(1-'конкурсные предложения'!$B$11)</f>
        <v>174.41860465116278</v>
      </c>
      <c r="AE82" s="292">
        <f>'конкурсная документация'!AE$33*'конкурсная документация'!AE47/(1-'конкурсные предложения'!$B$11)</f>
        <v>174.41860465116278</v>
      </c>
      <c r="AF82" s="292">
        <f>'конкурсная документация'!AF$33*'конкурсная документация'!AF47/(1-'конкурсные предложения'!$B$11)</f>
        <v>174.41860465116278</v>
      </c>
      <c r="AG82" s="292"/>
    </row>
    <row r="83" spans="1:32" s="306" customFormat="1" ht="45.75" customHeight="1">
      <c r="A83" s="303" t="s">
        <v>131</v>
      </c>
      <c r="B83" s="304"/>
      <c r="C83" s="305">
        <f>'конкурсная документация'!$B$14*(1+'конкурсная документация'!C$20)</f>
        <v>16.5</v>
      </c>
      <c r="D83" s="305">
        <f>C83*(1+'конкурсная документация'!D$20)</f>
        <v>18.150000000000002</v>
      </c>
      <c r="E83" s="305">
        <f>D83*(1+'конкурсная документация'!E$20)</f>
        <v>19.420500000000004</v>
      </c>
      <c r="F83" s="305">
        <f>E83*(1+'конкурсная документация'!F$20)</f>
        <v>20.585730000000005</v>
      </c>
      <c r="G83" s="305">
        <f>F83*(1+'конкурсная документация'!G$20)</f>
        <v>21.820873800000008</v>
      </c>
      <c r="H83" s="305">
        <f>G83*(1+'конкурсная документация'!H$20)</f>
        <v>23.13012622800001</v>
      </c>
      <c r="I83" s="305">
        <f>H83*(1+'конкурсная документация'!I$20)</f>
        <v>24.517933801680012</v>
      </c>
      <c r="J83" s="305">
        <f>I83*(1+'конкурсная документация'!J$20)</f>
        <v>25.989009829780816</v>
      </c>
      <c r="K83" s="305">
        <f>J83*(1+'конкурсная документация'!K$20)</f>
        <v>27.548350419567665</v>
      </c>
      <c r="L83" s="305">
        <f>K83*(1+'конкурсная документация'!L$20)</f>
        <v>29.201251444741725</v>
      </c>
      <c r="M83" s="305">
        <f>L83*(1+'конкурсная документация'!M$20)</f>
        <v>30.95332653142623</v>
      </c>
      <c r="N83" s="305">
        <f>M83*(1+'конкурсная документация'!N$20)</f>
        <v>32.81052612331181</v>
      </c>
      <c r="O83" s="305">
        <f>N83*(1+'конкурсная документация'!O$20)</f>
        <v>34.77915769071052</v>
      </c>
      <c r="P83" s="305">
        <f>O83*(1+'конкурсная документация'!P$20)</f>
        <v>36.865907152153156</v>
      </c>
      <c r="Q83" s="305">
        <f>P83*(1+'конкурсная документация'!Q$20)</f>
        <v>39.07786158128235</v>
      </c>
      <c r="R83" s="305">
        <f>Q83*(1+'конкурсная документация'!R$20)</f>
        <v>41.42253327615929</v>
      </c>
      <c r="S83" s="305">
        <f>R83*(1+'конкурсная документация'!S$20)</f>
        <v>43.907885272728855</v>
      </c>
      <c r="T83" s="305">
        <f>S83*(1+'конкурсная документация'!T$20)</f>
        <v>46.54235838909259</v>
      </c>
      <c r="U83" s="305">
        <f>T83*(1+'конкурсная документация'!U$20)</f>
        <v>49.33489989243815</v>
      </c>
      <c r="V83" s="305">
        <f>U83*(1+'конкурсная документация'!V$20)</f>
        <v>52.29499388598445</v>
      </c>
      <c r="W83" s="305">
        <f>V83*(1+'конкурсная документация'!W$20)</f>
        <v>55.43269351914351</v>
      </c>
      <c r="X83" s="305">
        <f>W83*(1+'конкурсная документация'!X$20)</f>
        <v>58.75865513029213</v>
      </c>
      <c r="Y83" s="305">
        <f>X83*(1+'конкурсная документация'!Y$20)</f>
        <v>62.28417443810966</v>
      </c>
      <c r="Z83" s="305">
        <f>Y83*(1+'конкурсная документация'!Z$20)</f>
        <v>66.02122490439625</v>
      </c>
      <c r="AA83" s="305">
        <f>Z83*(1+'конкурсная документация'!AA$20)</f>
        <v>69.98249839866003</v>
      </c>
      <c r="AB83" s="305">
        <f>AA83*(1+'конкурсная документация'!AB$20)</f>
        <v>74.18144830257964</v>
      </c>
      <c r="AC83" s="305">
        <f>AB83*(1+'конкурсная документация'!AC$20)</f>
        <v>78.63233520073442</v>
      </c>
      <c r="AD83" s="305">
        <f>AC83*(1+'конкурсная документация'!AD$20)</f>
        <v>83.35027531277849</v>
      </c>
      <c r="AE83" s="305">
        <f>AD83*(1+'конкурсная документация'!AE$20)</f>
        <v>88.35129183154521</v>
      </c>
      <c r="AF83" s="305">
        <f>AE83*(1+'конкурсная документация'!AF$20)</f>
        <v>93.65236934143793</v>
      </c>
    </row>
    <row r="84" spans="1:32" s="3" customFormat="1" ht="15">
      <c r="A84" s="7" t="s">
        <v>8</v>
      </c>
      <c r="B84" s="31"/>
      <c r="C84" s="89">
        <f>SUM(C85:C88)</f>
        <v>761.5450000000001</v>
      </c>
      <c r="D84" s="89">
        <f>SUM(D85:D88)</f>
        <v>801.6298647965116</v>
      </c>
      <c r="E84" s="89">
        <f>SUM(E85:E88)</f>
        <v>833.0169605160773</v>
      </c>
      <c r="F84" s="89">
        <f aca="true" t="shared" si="50" ref="F84:P84">SUM(F85:F88)</f>
        <v>868.1150228977721</v>
      </c>
      <c r="G84" s="89">
        <f t="shared" si="50"/>
        <v>904.7067930232129</v>
      </c>
      <c r="H84" s="89">
        <f t="shared" si="50"/>
        <v>942.9051538204783</v>
      </c>
      <c r="I84" s="89">
        <f t="shared" si="50"/>
        <v>982.8173063630725</v>
      </c>
      <c r="J84" s="89">
        <f t="shared" si="50"/>
        <v>1024.5631538266578</v>
      </c>
      <c r="K84" s="89">
        <f t="shared" si="50"/>
        <v>1068.2710508965051</v>
      </c>
      <c r="L84" s="89">
        <f t="shared" si="50"/>
        <v>1114.08046010269</v>
      </c>
      <c r="M84" s="89">
        <f t="shared" si="50"/>
        <v>1164.5573202706842</v>
      </c>
      <c r="N84" s="89">
        <f t="shared" si="50"/>
        <v>1232.540888031373</v>
      </c>
      <c r="O84" s="89">
        <f t="shared" si="50"/>
        <v>1319.6983034662576</v>
      </c>
      <c r="P84" s="89">
        <f t="shared" si="50"/>
        <v>1427.4329549192387</v>
      </c>
      <c r="Q84" s="89">
        <f aca="true" t="shared" si="51" ref="Q84:AF84">SUM(Q85:Q88)</f>
        <v>1557.2415057719663</v>
      </c>
      <c r="R84" s="89">
        <f t="shared" si="51"/>
        <v>1710.7258868690815</v>
      </c>
      <c r="S84" s="89">
        <f t="shared" si="51"/>
        <v>1889.6134587490928</v>
      </c>
      <c r="T84" s="89">
        <f t="shared" si="51"/>
        <v>2095.7542881969525</v>
      </c>
      <c r="U84" s="89">
        <f t="shared" si="51"/>
        <v>2331.1329407415647</v>
      </c>
      <c r="V84" s="89">
        <f t="shared" si="51"/>
        <v>2597.797260165551</v>
      </c>
      <c r="W84" s="89">
        <f t="shared" si="51"/>
        <v>2898.187208750348</v>
      </c>
      <c r="X84" s="89">
        <f t="shared" si="51"/>
        <v>3235.147504880115</v>
      </c>
      <c r="Y84" s="89">
        <f t="shared" si="51"/>
        <v>3612.068388591809</v>
      </c>
      <c r="Z84" s="89">
        <f t="shared" si="51"/>
        <v>4032.412561519153</v>
      </c>
      <c r="AA84" s="89">
        <f t="shared" si="51"/>
        <v>4499.901692619827</v>
      </c>
      <c r="AB84" s="89">
        <f t="shared" si="51"/>
        <v>5018.574456366793</v>
      </c>
      <c r="AC84" s="89">
        <f t="shared" si="51"/>
        <v>5592.804588308044</v>
      </c>
      <c r="AD84" s="89">
        <f t="shared" si="51"/>
        <v>6227.327354596889</v>
      </c>
      <c r="AE84" s="89">
        <f t="shared" si="51"/>
        <v>6927.268727667855</v>
      </c>
      <c r="AF84" s="89">
        <f t="shared" si="51"/>
        <v>7698.176882232285</v>
      </c>
    </row>
    <row r="85" spans="1:32" s="293" customFormat="1" ht="13.5" customHeight="1">
      <c r="A85" s="307" t="s">
        <v>19</v>
      </c>
      <c r="B85" s="291"/>
      <c r="C85" s="292">
        <f>'конкурсная документация'!C35*C12</f>
        <v>88</v>
      </c>
      <c r="D85" s="292">
        <f>'конкурсная документация'!D35*D12</f>
        <v>96.80000000000001</v>
      </c>
      <c r="E85" s="292">
        <f>'конкурсная документация'!E35*E12</f>
        <v>102.60800000000002</v>
      </c>
      <c r="F85" s="292">
        <f>'конкурсная документация'!F35*F12</f>
        <v>109.79056000000001</v>
      </c>
      <c r="G85" s="292">
        <f>'конкурсная документация'!G35*G12</f>
        <v>117.47589920000003</v>
      </c>
      <c r="H85" s="292">
        <f>'конкурсная документация'!H35*H12</f>
        <v>125.69921214400004</v>
      </c>
      <c r="I85" s="292">
        <f>'конкурсная документация'!I35*I12</f>
        <v>134.49815699408006</v>
      </c>
      <c r="J85" s="292">
        <f>'конкурсная документация'!J35*J12</f>
        <v>143.91302798366567</v>
      </c>
      <c r="K85" s="292">
        <f>'конкурсная документация'!K35*K12</f>
        <v>153.98693994252227</v>
      </c>
      <c r="L85" s="292">
        <f>'конкурсная документация'!L35*L12</f>
        <v>164.76602573849885</v>
      </c>
      <c r="M85" s="292">
        <f>'конкурсная документация'!M35*M12</f>
        <v>176.29964754019375</v>
      </c>
      <c r="N85" s="292">
        <f>'конкурсная документация'!N35*N12</f>
        <v>188.64062286800734</v>
      </c>
      <c r="O85" s="292">
        <f>'конкурсная документация'!O35*O12</f>
        <v>201.84546646876785</v>
      </c>
      <c r="P85" s="292">
        <f>'конкурсная документация'!P35*P12</f>
        <v>215.97464912158162</v>
      </c>
      <c r="Q85" s="292">
        <f>'конкурсная документация'!Q35*Q12</f>
        <v>231.09287456009235</v>
      </c>
      <c r="R85" s="292">
        <f>'конкурсная документация'!R35*R12</f>
        <v>247.2693757792988</v>
      </c>
      <c r="S85" s="292">
        <f>'конкурсная документация'!S35*S12</f>
        <v>264.57823208384974</v>
      </c>
      <c r="T85" s="292">
        <f>'конкурсная документация'!T35*T12</f>
        <v>283.0987083297192</v>
      </c>
      <c r="U85" s="292">
        <f>'конкурсная документация'!U35*U12</f>
        <v>302.9156179127996</v>
      </c>
      <c r="V85" s="292">
        <f>'конкурсная документация'!V35*V12</f>
        <v>324.11971116669554</v>
      </c>
      <c r="W85" s="292">
        <f>'конкурсная документация'!W35*W12</f>
        <v>346.8080909483643</v>
      </c>
      <c r="X85" s="292">
        <f>'конкурсная документация'!X35*X12</f>
        <v>371.0846573147498</v>
      </c>
      <c r="Y85" s="292">
        <f>'конкурсная документация'!Y35*Y12</f>
        <v>397.0605833267823</v>
      </c>
      <c r="Z85" s="292">
        <f>'конкурсная документация'!Z35*Z12</f>
        <v>424.85482415965714</v>
      </c>
      <c r="AA85" s="292">
        <f>'конкурсная документация'!AA35*AA12</f>
        <v>454.5946618508332</v>
      </c>
      <c r="AB85" s="292">
        <f>'конкурсная документация'!AB35*AB12</f>
        <v>486.4162881803915</v>
      </c>
      <c r="AC85" s="292">
        <f>'конкурсная документация'!AC35*AC12</f>
        <v>520.465428353019</v>
      </c>
      <c r="AD85" s="292">
        <f>'конкурсная документация'!AD35*AD12</f>
        <v>556.8980083377303</v>
      </c>
      <c r="AE85" s="292">
        <f>'конкурсная документация'!AE35*AE12</f>
        <v>595.8808689213714</v>
      </c>
      <c r="AF85" s="292">
        <f>'конкурсная документация'!AF35*AF12</f>
        <v>637.5925297458674</v>
      </c>
    </row>
    <row r="86" spans="1:32" s="3" customFormat="1" ht="15">
      <c r="A86" s="10" t="s">
        <v>9</v>
      </c>
      <c r="B86" s="33"/>
      <c r="C86" s="114">
        <f>C60*'конкурсная документация'!$B$10/(1-'конкурсная документация'!$B$10)</f>
        <v>6.125</v>
      </c>
      <c r="D86" s="114">
        <f>D60*'конкурсная документация'!$B$10/(1-'конкурсная документация'!$B$10)</f>
        <v>16.04566479651163</v>
      </c>
      <c r="E86" s="114">
        <f>E60*'конкурсная документация'!$B$10/(1-'конкурсная документация'!$B$10)</f>
        <v>25.98067051607734</v>
      </c>
      <c r="F86" s="114">
        <f>F60*'конкурсная документация'!$B$10/(1-'конкурсная документация'!$B$10)</f>
        <v>35.89370819777202</v>
      </c>
      <c r="G86" s="114">
        <f>G60*'конкурсная документация'!$B$10/(1-'конкурсная документация'!$B$10)</f>
        <v>46.03011709421282</v>
      </c>
      <c r="H86" s="114">
        <f>H60*'конкурсная документация'!$B$10/(1-'конкурсная документация'!$B$10)</f>
        <v>56.413856576448076</v>
      </c>
      <c r="I86" s="114">
        <f>I60*'конкурсная документация'!$B$10/(1-'конкурсная документация'!$B$10)</f>
        <v>67.05697951196018</v>
      </c>
      <c r="J86" s="114">
        <f>J60*'конкурсная документация'!$B$10/(1-'конкурсная документация'!$B$10)</f>
        <v>77.97758049596763</v>
      </c>
      <c r="K86" s="114">
        <f>K60*'конкурсная документация'!$B$10/(1-'конкурсная документация'!$B$10)</f>
        <v>89.1950790326668</v>
      </c>
      <c r="L86" s="114">
        <f>L60*'конкурсная документация'!$B$10/(1-'конкурсная документация'!$B$10)</f>
        <v>100.73237700838285</v>
      </c>
      <c r="M86" s="114">
        <f>M60*'конкурсная документация'!$B$10/(1-'конкурсная документация'!$B$10)</f>
        <v>112.60761270873655</v>
      </c>
      <c r="N86" s="114">
        <f>N60*'конкурсная документация'!$B$10/(1-'конкурсная документация'!$B$10)</f>
        <v>134.7645886065036</v>
      </c>
      <c r="O86" s="114">
        <f>O60*'конкурсная документация'!$B$10/(1-'конкурсная документация'!$B$10)</f>
        <v>168.26349037394482</v>
      </c>
      <c r="P86" s="114">
        <f>P60*'конкурсная документация'!$B$10/(1-'конкурсная документация'!$B$10)</f>
        <v>214.11617066866398</v>
      </c>
      <c r="Q86" s="114">
        <f>Q60*'конкурсная документация'!$B$10/(1-'конкурсная документация'!$B$10)</f>
        <v>273.421300138775</v>
      </c>
      <c r="R86" s="114">
        <f>R60*'конкурсная документация'!$B$10/(1-'конкурсная документация'!$B$10)</f>
        <v>347.36164438639196</v>
      </c>
      <c r="S86" s="114">
        <f>S60*'конкурсная документация'!$B$10/(1-'конкурсная документация'!$B$10)</f>
        <v>437.2289606796435</v>
      </c>
      <c r="T86" s="114">
        <f>T60*'конкурсная документация'!$B$10/(1-'конкурсная документация'!$B$10)</f>
        <v>544.4210270910347</v>
      </c>
      <c r="U86" s="114">
        <f>U60*'конкурсная документация'!$B$10/(1-'конкурсная документация'!$B$10)</f>
        <v>670.4532334890933</v>
      </c>
      <c r="V86" s="114">
        <f>V60*'конкурсная документация'!$B$10/(1-'конкурсная документация'!$B$10)</f>
        <v>816.8872130901167</v>
      </c>
      <c r="W86" s="114">
        <f>W60*'конкурсная документация'!$B$10/(1-'конкурсная документация'!$B$10)</f>
        <v>985.6595967771676</v>
      </c>
      <c r="X86" s="114">
        <f>X60*'конкурсная документация'!$B$10/(1-'конкурсная документация'!$B$10)</f>
        <v>1178.8523281541752</v>
      </c>
      <c r="Y86" s="114">
        <f>Y60*'конкурсная документация'!$B$10/(1-'конкурсная документация'!$B$10)</f>
        <v>1398.799573346392</v>
      </c>
      <c r="Z86" s="114">
        <f>Z60*'конкурсная документация'!$B$10/(1-'конкурсная документация'!$B$10)</f>
        <v>1647.8196447274881</v>
      </c>
      <c r="AA86" s="114">
        <f>AA60*'конкурсная документация'!$B$10/(1-'конкурсная документация'!$B$10)</f>
        <v>1928.394317260144</v>
      </c>
      <c r="AB86" s="114">
        <f>AB60*'конкурсная документация'!$B$10/(1-'конкурсная документация'!$B$10)</f>
        <v>2243.2191035318465</v>
      </c>
      <c r="AC86" s="114">
        <f>AC60*'конкурсная документация'!$B$10/(1-'конкурсная документация'!$B$10)</f>
        <v>2595.21292729056</v>
      </c>
      <c r="AD86" s="114">
        <f>AD60*'конкурсная документация'!$B$10/(1-'конкурсная документация'!$B$10)</f>
        <v>2987.535543480203</v>
      </c>
      <c r="AE86" s="114">
        <f>AE60*'конкурсная документация'!$B$10/(1-'конкурсная документация'!$B$10)</f>
        <v>3423.6069445770668</v>
      </c>
      <c r="AF86" s="114">
        <f>AF60*'конкурсная документация'!$B$10/(1-'конкурсная документация'!$B$10)</f>
        <v>3907.128310965489</v>
      </c>
    </row>
    <row r="87" spans="1:32" s="273" customFormat="1" ht="15">
      <c r="A87" s="280" t="s">
        <v>165</v>
      </c>
      <c r="B87" s="271"/>
      <c r="C87" s="272">
        <f>'расчет индексация'!C40</f>
        <v>502.42</v>
      </c>
      <c r="D87" s="272">
        <f>'расчет индексация'!D40</f>
        <v>507.2842</v>
      </c>
      <c r="E87" s="272">
        <f>'расчет индексация'!E40</f>
        <v>512.03829</v>
      </c>
      <c r="F87" s="272">
        <f>'расчет индексация'!F40</f>
        <v>516.5734547</v>
      </c>
      <c r="G87" s="272">
        <f>'расчет индексация'!G40</f>
        <v>520.933465729</v>
      </c>
      <c r="H87" s="272">
        <f>'расчет индексация'!H40</f>
        <v>525.10606233003</v>
      </c>
      <c r="I87" s="272">
        <f>'расчет индексация'!I40</f>
        <v>529.0781254931321</v>
      </c>
      <c r="J87" s="272">
        <f>'расчет индексация'!J40</f>
        <v>532.8356178776513</v>
      </c>
      <c r="K87" s="272">
        <f>'расчет индексация'!K40</f>
        <v>536.363519529087</v>
      </c>
      <c r="L87" s="272">
        <f>'расчет индексация'!L40</f>
        <v>539.645759096123</v>
      </c>
      <c r="M87" s="272">
        <f>'расчет индексация'!M40</f>
        <v>545.0882208838906</v>
      </c>
      <c r="N87" s="272">
        <f>'расчет индексация'!N40</f>
        <v>555.4345086793484</v>
      </c>
      <c r="O87" s="272">
        <f>'расчет индексация'!O40</f>
        <v>571.1290969946052</v>
      </c>
      <c r="P87" s="272">
        <f>'расчет индексация'!P40</f>
        <v>592.3896680260275</v>
      </c>
      <c r="Q87" s="272">
        <f>'расчет индексация'!Q40</f>
        <v>619.4281912729259</v>
      </c>
      <c r="R87" s="272">
        <f>'расчет индексация'!R40</f>
        <v>652.4647871172053</v>
      </c>
      <c r="S87" s="272">
        <f>'расчет индексация'!S40</f>
        <v>691.7220808283815</v>
      </c>
      <c r="T87" s="272">
        <f>'расчет индексация'!T40</f>
        <v>737.4244746579752</v>
      </c>
      <c r="U87" s="272">
        <f>'расчет индексация'!U40</f>
        <v>789.7973057531725</v>
      </c>
      <c r="V87" s="272">
        <f>'расчет индексация'!V40</f>
        <v>849.0658774711849</v>
      </c>
      <c r="W87" s="272">
        <f>'расчет индексация'!W40</f>
        <v>915.4543504966325</v>
      </c>
      <c r="X87" s="272">
        <f>'расчет индексация'!X40</f>
        <v>989.4267869460339</v>
      </c>
      <c r="Y87" s="272">
        <f>'расчет индексация'!Y40</f>
        <v>1071.719638180918</v>
      </c>
      <c r="Z87" s="272">
        <f>'расчет индексация'!Z40</f>
        <v>1163.1352973326502</v>
      </c>
      <c r="AA87" s="272">
        <f>'расчет индексация'!AA40</f>
        <v>1264.5477225385384</v>
      </c>
      <c r="AB87" s="272">
        <f>'расчет индексация'!AB40</f>
        <v>1376.908524316321</v>
      </c>
      <c r="AC87" s="272">
        <f>'расчет индексация'!AC40</f>
        <v>1501.2535545025548</v>
      </c>
      <c r="AD87" s="272">
        <f>'расчет индексация'!AD40</f>
        <v>1638.7100371457109</v>
      </c>
      <c r="AE87" s="272">
        <f>'расчет индексация'!AE40</f>
        <v>1790.5042849418462</v>
      </c>
      <c r="AF87" s="272">
        <f>'расчет индексация'!AF40</f>
        <v>1957.9700482474266</v>
      </c>
    </row>
    <row r="88" spans="1:32" s="3" customFormat="1" ht="15">
      <c r="A88" s="307" t="s">
        <v>17</v>
      </c>
      <c r="B88" s="308"/>
      <c r="C88" s="292">
        <f>'конкурсная документация'!C38*C12</f>
        <v>165</v>
      </c>
      <c r="D88" s="292">
        <f>'конкурсная документация'!D38*D12</f>
        <v>181.50000000000003</v>
      </c>
      <c r="E88" s="292">
        <f>'конкурсная документация'!E38*E12</f>
        <v>192.39000000000001</v>
      </c>
      <c r="F88" s="292">
        <f>'конкурсная документация'!F38*F12</f>
        <v>205.85730000000004</v>
      </c>
      <c r="G88" s="292">
        <f>'конкурсная документация'!G38*G12</f>
        <v>220.26731100000006</v>
      </c>
      <c r="H88" s="292">
        <f>'конкурсная документация'!H38*H12</f>
        <v>235.68602277000008</v>
      </c>
      <c r="I88" s="292">
        <f>'конкурсная документация'!I38*I12</f>
        <v>252.1840443639001</v>
      </c>
      <c r="J88" s="292">
        <f>'конкурсная документация'!J38*J12</f>
        <v>269.8369274693731</v>
      </c>
      <c r="K88" s="292">
        <f>'конкурсная документация'!K38*K12</f>
        <v>288.72551239222923</v>
      </c>
      <c r="L88" s="292">
        <f>'конкурсная документация'!L38*L12</f>
        <v>308.9362982596853</v>
      </c>
      <c r="M88" s="292">
        <f>'конкурсная документация'!M38*M12</f>
        <v>330.5618391378633</v>
      </c>
      <c r="N88" s="292">
        <f>'конкурсная документация'!N38*N12</f>
        <v>353.7011678775138</v>
      </c>
      <c r="O88" s="292">
        <f>'конкурсная документация'!O38*O12</f>
        <v>378.4602496289397</v>
      </c>
      <c r="P88" s="292">
        <f>'конкурсная документация'!P38*P12</f>
        <v>404.95246710296556</v>
      </c>
      <c r="Q88" s="292">
        <f>'конкурсная документация'!Q38*Q12</f>
        <v>433.2991398001731</v>
      </c>
      <c r="R88" s="292">
        <f>'конкурсная документация'!R38*R12</f>
        <v>463.6300795861853</v>
      </c>
      <c r="S88" s="292">
        <f>'конкурсная документация'!S38*S12</f>
        <v>496.08418515721826</v>
      </c>
      <c r="T88" s="292">
        <f>'конкурсная документация'!T38*T12</f>
        <v>530.8100781182235</v>
      </c>
      <c r="U88" s="292">
        <f>'конкурсная документация'!U38*U12</f>
        <v>567.9667835864992</v>
      </c>
      <c r="V88" s="292">
        <f>'конкурсная документация'!V38*V12</f>
        <v>607.7244584375542</v>
      </c>
      <c r="W88" s="292">
        <f>'конкурсная документация'!W38*W12</f>
        <v>650.265170528183</v>
      </c>
      <c r="X88" s="292">
        <f>'конкурсная документация'!X38*X12</f>
        <v>695.7837324651558</v>
      </c>
      <c r="Y88" s="292">
        <f>'конкурсная документация'!Y38*Y12</f>
        <v>744.4885937377169</v>
      </c>
      <c r="Z88" s="292">
        <f>'конкурсная документация'!Z38*Z12</f>
        <v>796.6027952993571</v>
      </c>
      <c r="AA88" s="292">
        <f>'конкурсная документация'!AA38*AA12</f>
        <v>852.3649909703122</v>
      </c>
      <c r="AB88" s="292">
        <f>'конкурсная документация'!AB38*AB12</f>
        <v>912.0305403382341</v>
      </c>
      <c r="AC88" s="292">
        <f>'конкурсная документация'!AC38*AC12</f>
        <v>975.8726781619105</v>
      </c>
      <c r="AD88" s="292">
        <f>'конкурсная документация'!AD38*AD12</f>
        <v>1044.1837656332443</v>
      </c>
      <c r="AE88" s="292">
        <f>'конкурсная документация'!AE38*AE12</f>
        <v>1117.2766292275714</v>
      </c>
      <c r="AF88" s="292">
        <f>'конкурсная документация'!AF38*AF12</f>
        <v>1195.4859932735014</v>
      </c>
    </row>
    <row r="89" spans="1:32" s="14" customFormat="1" ht="15">
      <c r="A89" s="13" t="s">
        <v>32</v>
      </c>
      <c r="B89" s="84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</row>
    <row r="90" spans="1:32" s="3" customFormat="1" ht="15">
      <c r="A90" s="7" t="s">
        <v>10</v>
      </c>
      <c r="B90" s="87">
        <f>'конкурсная документация'!B46</f>
        <v>500</v>
      </c>
      <c r="C90" s="89">
        <f>C20+C52+C60+C84+C71+C62</f>
        <v>840.2954651162792</v>
      </c>
      <c r="D90" s="89">
        <f aca="true" t="shared" si="52" ref="D90:AF90">D20+D52+D60+D84+D71+D62</f>
        <v>936.1646738121492</v>
      </c>
      <c r="E90" s="89">
        <f t="shared" si="52"/>
        <v>1022.2703101208939</v>
      </c>
      <c r="F90" s="89">
        <f t="shared" si="52"/>
        <v>1110.216241872358</v>
      </c>
      <c r="G90" s="89">
        <f t="shared" si="52"/>
        <v>1203.8305724213571</v>
      </c>
      <c r="H90" s="89">
        <f t="shared" si="52"/>
        <v>1301.1721903400712</v>
      </c>
      <c r="I90" s="89">
        <f t="shared" si="52"/>
        <v>1402.4743406284222</v>
      </c>
      <c r="J90" s="89">
        <f t="shared" si="52"/>
        <v>1508.012500908598</v>
      </c>
      <c r="K90" s="89">
        <f t="shared" si="52"/>
        <v>1619.024995274152</v>
      </c>
      <c r="L90" s="89">
        <f t="shared" si="52"/>
        <v>1734.0071715064046</v>
      </c>
      <c r="M90" s="89">
        <f t="shared" si="52"/>
        <v>1856.589871207254</v>
      </c>
      <c r="N90" s="89">
        <f t="shared" si="52"/>
        <v>2050.5103777639947</v>
      </c>
      <c r="O90" s="89">
        <f t="shared" si="52"/>
        <v>2323.3348486481177</v>
      </c>
      <c r="P90" s="89">
        <f t="shared" si="52"/>
        <v>2683.6653948822545</v>
      </c>
      <c r="Q90" s="89">
        <f t="shared" si="52"/>
        <v>3136.8393838503675</v>
      </c>
      <c r="R90" s="89">
        <f t="shared" si="52"/>
        <v>3692.6555157913544</v>
      </c>
      <c r="S90" s="89">
        <f t="shared" si="52"/>
        <v>4360.445971329539</v>
      </c>
      <c r="T90" s="89">
        <f t="shared" si="52"/>
        <v>5150.330947162946</v>
      </c>
      <c r="U90" s="89">
        <f t="shared" si="52"/>
        <v>6037.2899230103585</v>
      </c>
      <c r="V90" s="89">
        <f t="shared" si="52"/>
        <v>7102.728221454779</v>
      </c>
      <c r="W90" s="89">
        <f t="shared" si="52"/>
        <v>8316.373619165608</v>
      </c>
      <c r="X90" s="89">
        <f t="shared" si="52"/>
        <v>9702.822831441026</v>
      </c>
      <c r="Y90" s="89">
        <f t="shared" si="52"/>
        <v>11278.347763184689</v>
      </c>
      <c r="Z90" s="89">
        <f t="shared" si="52"/>
        <v>13060.901524802492</v>
      </c>
      <c r="AA90" s="89">
        <f t="shared" si="52"/>
        <v>15068.94670662384</v>
      </c>
      <c r="AB90" s="89">
        <f t="shared" si="52"/>
        <v>17322.808195411686</v>
      </c>
      <c r="AC90" s="89">
        <f t="shared" si="52"/>
        <v>19844.554755699573</v>
      </c>
      <c r="AD90" s="89">
        <f t="shared" si="52"/>
        <v>22658.140334222568</v>
      </c>
      <c r="AE90" s="89">
        <f t="shared" si="52"/>
        <v>25789.559813088083</v>
      </c>
      <c r="AF90" s="89">
        <f t="shared" si="52"/>
        <v>29267.017367194443</v>
      </c>
    </row>
    <row r="91" spans="1:32" s="3" customFormat="1" ht="15">
      <c r="A91" s="7" t="s">
        <v>11</v>
      </c>
      <c r="B91" s="33"/>
      <c r="C91" s="140">
        <f>(C90-B90)/B90</f>
        <v>0.6805909302325583</v>
      </c>
      <c r="D91" s="140">
        <f aca="true" t="shared" si="53" ref="D91:AF91">(D90-C90)/C90</f>
        <v>0.11408987990028456</v>
      </c>
      <c r="E91" s="140">
        <f t="shared" si="53"/>
        <v>0.09197701934010666</v>
      </c>
      <c r="F91" s="140">
        <f t="shared" si="53"/>
        <v>0.08603001660203129</v>
      </c>
      <c r="G91" s="140">
        <f t="shared" si="53"/>
        <v>0.08432080798162377</v>
      </c>
      <c r="H91" s="140">
        <f t="shared" si="53"/>
        <v>0.08085989851788145</v>
      </c>
      <c r="I91" s="140">
        <f t="shared" si="53"/>
        <v>0.07785453073806847</v>
      </c>
      <c r="J91" s="140">
        <f t="shared" si="53"/>
        <v>0.07525140191362514</v>
      </c>
      <c r="K91" s="140">
        <f t="shared" si="53"/>
        <v>0.07361510219488725</v>
      </c>
      <c r="L91" s="140">
        <f t="shared" si="53"/>
        <v>0.07101939535700777</v>
      </c>
      <c r="M91" s="140">
        <f t="shared" si="53"/>
        <v>0.07069330606883054</v>
      </c>
      <c r="N91" s="140">
        <f t="shared" si="53"/>
        <v>0.10444983545592827</v>
      </c>
      <c r="O91" s="140">
        <f t="shared" si="53"/>
        <v>0.1330519824930747</v>
      </c>
      <c r="P91" s="140">
        <f t="shared" si="53"/>
        <v>0.15509195604921214</v>
      </c>
      <c r="Q91" s="140">
        <f t="shared" si="53"/>
        <v>0.1688638195478151</v>
      </c>
      <c r="R91" s="140">
        <f t="shared" si="53"/>
        <v>0.17718986021488317</v>
      </c>
      <c r="S91" s="140">
        <f t="shared" si="53"/>
        <v>0.18084287924568937</v>
      </c>
      <c r="T91" s="140">
        <f t="shared" si="53"/>
        <v>0.18114774980059303</v>
      </c>
      <c r="U91" s="140">
        <f t="shared" si="53"/>
        <v>0.17221397711073158</v>
      </c>
      <c r="V91" s="140">
        <f t="shared" si="53"/>
        <v>0.1764762520984189</v>
      </c>
      <c r="W91" s="140">
        <f t="shared" si="53"/>
        <v>0.17087031347262377</v>
      </c>
      <c r="X91" s="140">
        <f t="shared" si="53"/>
        <v>0.16671319444814967</v>
      </c>
      <c r="Y91" s="140">
        <f t="shared" si="53"/>
        <v>0.16237799649791934</v>
      </c>
      <c r="Z91" s="140">
        <f t="shared" si="53"/>
        <v>0.15805096624494042</v>
      </c>
      <c r="AA91" s="140">
        <f t="shared" si="53"/>
        <v>0.153744760881023</v>
      </c>
      <c r="AB91" s="140">
        <f t="shared" si="53"/>
        <v>0.14956994225728593</v>
      </c>
      <c r="AC91" s="140">
        <f t="shared" si="53"/>
        <v>0.14557377371157557</v>
      </c>
      <c r="AD91" s="140">
        <f t="shared" si="53"/>
        <v>0.14178123989982197</v>
      </c>
      <c r="AE91" s="140">
        <f t="shared" si="53"/>
        <v>0.1382028459827243</v>
      </c>
      <c r="AF91" s="140">
        <f t="shared" si="53"/>
        <v>0.13483974055042097</v>
      </c>
    </row>
    <row r="92" spans="1:32" s="3" customFormat="1" ht="15">
      <c r="A92" s="7" t="s">
        <v>92</v>
      </c>
      <c r="B92" s="87">
        <f>'конкурсная документация'!B47</f>
        <v>300</v>
      </c>
      <c r="C92" s="86">
        <f>'конкурсная документация'!C47</f>
        <v>300</v>
      </c>
      <c r="D92" s="86">
        <f>'конкурсная документация'!D47</f>
        <v>300</v>
      </c>
      <c r="E92" s="86">
        <f>'конкурсная документация'!E47</f>
        <v>300</v>
      </c>
      <c r="F92" s="86">
        <f>'конкурсная документация'!F47</f>
        <v>300</v>
      </c>
      <c r="G92" s="86">
        <f>'конкурсная документация'!G47</f>
        <v>300</v>
      </c>
      <c r="H92" s="86">
        <f>'конкурсная документация'!H47</f>
        <v>300</v>
      </c>
      <c r="I92" s="86">
        <f>'конкурсная документация'!I47</f>
        <v>300</v>
      </c>
      <c r="J92" s="86">
        <f>'конкурсная документация'!J47</f>
        <v>300</v>
      </c>
      <c r="K92" s="86">
        <f>'конкурсная документация'!K47</f>
        <v>300</v>
      </c>
      <c r="L92" s="86">
        <f>'конкурсная документация'!L47</f>
        <v>300</v>
      </c>
      <c r="M92" s="86">
        <f>'конкурсная документация'!M47</f>
        <v>300</v>
      </c>
      <c r="N92" s="86">
        <f>'конкурсная документация'!N47</f>
        <v>300</v>
      </c>
      <c r="O92" s="86">
        <f>'конкурсная документация'!O47</f>
        <v>300</v>
      </c>
      <c r="P92" s="86">
        <f>'конкурсная документация'!P47</f>
        <v>300</v>
      </c>
      <c r="Q92" s="86">
        <f>'конкурсная документация'!Q47</f>
        <v>300</v>
      </c>
      <c r="R92" s="86">
        <f>'конкурсная документация'!R47</f>
        <v>300</v>
      </c>
      <c r="S92" s="86">
        <f>'конкурсная документация'!S47</f>
        <v>300</v>
      </c>
      <c r="T92" s="86">
        <f>'конкурсная документация'!T47</f>
        <v>300</v>
      </c>
      <c r="U92" s="86">
        <f>'конкурсная документация'!U47</f>
        <v>300</v>
      </c>
      <c r="V92" s="86">
        <f>'конкурсная документация'!V47</f>
        <v>300</v>
      </c>
      <c r="W92" s="86">
        <f>'конкурсная документация'!W47</f>
        <v>300</v>
      </c>
      <c r="X92" s="86">
        <f>'конкурсная документация'!X47</f>
        <v>300</v>
      </c>
      <c r="Y92" s="86">
        <f>'конкурсная документация'!Y47</f>
        <v>300</v>
      </c>
      <c r="Z92" s="86">
        <f>'конкурсная документация'!Z47</f>
        <v>300</v>
      </c>
      <c r="AA92" s="86">
        <f>'конкурсная документация'!AA47</f>
        <v>300</v>
      </c>
      <c r="AB92" s="86">
        <f>'конкурсная документация'!AB47</f>
        <v>300</v>
      </c>
      <c r="AC92" s="86">
        <f>'конкурсная документация'!AC47</f>
        <v>300</v>
      </c>
      <c r="AD92" s="86">
        <f>'конкурсная документация'!AD47</f>
        <v>300</v>
      </c>
      <c r="AE92" s="86">
        <f>'конкурсная документация'!AE47</f>
        <v>300</v>
      </c>
      <c r="AF92" s="86">
        <f>'конкурсная документация'!AF47</f>
        <v>300</v>
      </c>
    </row>
    <row r="93" spans="1:32" s="3" customFormat="1" ht="14.25" customHeight="1">
      <c r="A93" s="7" t="s">
        <v>22</v>
      </c>
      <c r="B93" s="45">
        <f>B90*1000/B92</f>
        <v>1666.6666666666667</v>
      </c>
      <c r="C93" s="122">
        <f aca="true" t="shared" si="54" ref="C93:AF93">C90*1000/C92</f>
        <v>2800.9848837209306</v>
      </c>
      <c r="D93" s="122">
        <f t="shared" si="54"/>
        <v>3120.548912707164</v>
      </c>
      <c r="E93" s="122">
        <f t="shared" si="54"/>
        <v>3407.5677004029794</v>
      </c>
      <c r="F93" s="122">
        <f t="shared" si="54"/>
        <v>3700.7208062411937</v>
      </c>
      <c r="G93" s="122">
        <f t="shared" si="54"/>
        <v>4012.768574737857</v>
      </c>
      <c r="H93" s="122">
        <f t="shared" si="54"/>
        <v>4337.240634466904</v>
      </c>
      <c r="I93" s="122">
        <f t="shared" si="54"/>
        <v>4674.914468761407</v>
      </c>
      <c r="J93" s="122">
        <f t="shared" si="54"/>
        <v>5026.708336361993</v>
      </c>
      <c r="K93" s="122">
        <f t="shared" si="54"/>
        <v>5396.749984247173</v>
      </c>
      <c r="L93" s="122">
        <f t="shared" si="54"/>
        <v>5780.023905021349</v>
      </c>
      <c r="M93" s="122">
        <f t="shared" si="54"/>
        <v>6188.63290402418</v>
      </c>
      <c r="N93" s="122">
        <f t="shared" si="54"/>
        <v>6835.034592546649</v>
      </c>
      <c r="O93" s="122">
        <f t="shared" si="54"/>
        <v>7744.449495493726</v>
      </c>
      <c r="P93" s="122">
        <f t="shared" si="54"/>
        <v>8945.55131627418</v>
      </c>
      <c r="Q93" s="122">
        <f t="shared" si="54"/>
        <v>10456.131279501225</v>
      </c>
      <c r="R93" s="122">
        <f t="shared" si="54"/>
        <v>12308.851719304514</v>
      </c>
      <c r="S93" s="122">
        <f t="shared" si="54"/>
        <v>14534.819904431797</v>
      </c>
      <c r="T93" s="122">
        <f t="shared" si="54"/>
        <v>17167.76982387649</v>
      </c>
      <c r="U93" s="122">
        <f t="shared" si="54"/>
        <v>20124.29974336786</v>
      </c>
      <c r="V93" s="122">
        <f t="shared" si="54"/>
        <v>23675.760738182595</v>
      </c>
      <c r="W93" s="122">
        <f t="shared" si="54"/>
        <v>27721.245397218692</v>
      </c>
      <c r="X93" s="122">
        <f t="shared" si="54"/>
        <v>32342.742771470086</v>
      </c>
      <c r="Y93" s="122">
        <f t="shared" si="54"/>
        <v>37594.49254394896</v>
      </c>
      <c r="Z93" s="122">
        <f t="shared" si="54"/>
        <v>43536.3384160083</v>
      </c>
      <c r="AA93" s="122">
        <f t="shared" si="54"/>
        <v>50229.8223554128</v>
      </c>
      <c r="AB93" s="122">
        <f t="shared" si="54"/>
        <v>57742.69398470562</v>
      </c>
      <c r="AC93" s="122">
        <f t="shared" si="54"/>
        <v>66148.51585233191</v>
      </c>
      <c r="AD93" s="122">
        <f t="shared" si="54"/>
        <v>75527.13444740855</v>
      </c>
      <c r="AE93" s="122">
        <f t="shared" si="54"/>
        <v>85965.19937696027</v>
      </c>
      <c r="AF93" s="122">
        <f t="shared" si="54"/>
        <v>97556.72455731481</v>
      </c>
    </row>
    <row r="94" spans="1:32" s="24" customFormat="1" ht="15">
      <c r="A94" s="15" t="s">
        <v>12</v>
      </c>
      <c r="B94" s="23"/>
      <c r="C94" s="140">
        <f>(C93-B93)/B93</f>
        <v>0.6805909302325583</v>
      </c>
      <c r="D94" s="140">
        <f>(D93-C93)/C93</f>
        <v>0.11408987990028459</v>
      </c>
      <c r="E94" s="140">
        <f aca="true" t="shared" si="55" ref="E94:AF94">(E93-D93)/D93</f>
        <v>0.09197701934010653</v>
      </c>
      <c r="F94" s="140">
        <f t="shared" si="55"/>
        <v>0.0860300166020314</v>
      </c>
      <c r="G94" s="140">
        <f t="shared" si="55"/>
        <v>0.08432080798162364</v>
      </c>
      <c r="H94" s="140">
        <f t="shared" si="55"/>
        <v>0.0808598985178816</v>
      </c>
      <c r="I94" s="140">
        <f t="shared" si="55"/>
        <v>0.07785453073806836</v>
      </c>
      <c r="J94" s="140">
        <f t="shared" si="55"/>
        <v>0.07525140191362516</v>
      </c>
      <c r="K94" s="140">
        <f t="shared" si="55"/>
        <v>0.07361510219488734</v>
      </c>
      <c r="L94" s="140">
        <f t="shared" si="55"/>
        <v>0.07101939535700771</v>
      </c>
      <c r="M94" s="140">
        <f t="shared" si="55"/>
        <v>0.07069330606883054</v>
      </c>
      <c r="N94" s="140">
        <f t="shared" si="55"/>
        <v>0.10444983545592827</v>
      </c>
      <c r="O94" s="140">
        <f t="shared" si="55"/>
        <v>0.1330519824930748</v>
      </c>
      <c r="P94" s="140">
        <f t="shared" si="55"/>
        <v>0.15509195604921194</v>
      </c>
      <c r="Q94" s="140">
        <f t="shared" si="55"/>
        <v>0.16886381954781526</v>
      </c>
      <c r="R94" s="140">
        <f t="shared" si="55"/>
        <v>0.17718986021488303</v>
      </c>
      <c r="S94" s="140">
        <f t="shared" si="55"/>
        <v>0.18084287924568948</v>
      </c>
      <c r="T94" s="140">
        <f t="shared" si="55"/>
        <v>0.18114774980059317</v>
      </c>
      <c r="U94" s="140">
        <f t="shared" si="55"/>
        <v>0.17221397711073141</v>
      </c>
      <c r="V94" s="140">
        <f t="shared" si="55"/>
        <v>0.1764762520984189</v>
      </c>
      <c r="W94" s="140">
        <f t="shared" si="55"/>
        <v>0.17087031347262374</v>
      </c>
      <c r="X94" s="140">
        <f t="shared" si="55"/>
        <v>0.16671319444814967</v>
      </c>
      <c r="Y94" s="140">
        <f t="shared" si="55"/>
        <v>0.16237799649791929</v>
      </c>
      <c r="Z94" s="140">
        <f t="shared" si="55"/>
        <v>0.15805096624494042</v>
      </c>
      <c r="AA94" s="140">
        <f t="shared" si="55"/>
        <v>0.15374476088102312</v>
      </c>
      <c r="AB94" s="140">
        <f t="shared" si="55"/>
        <v>0.14956994225728593</v>
      </c>
      <c r="AC94" s="140">
        <f t="shared" si="55"/>
        <v>0.14557377371157557</v>
      </c>
      <c r="AD94" s="140">
        <f t="shared" si="55"/>
        <v>0.14178123989982183</v>
      </c>
      <c r="AE94" s="140">
        <f t="shared" si="55"/>
        <v>0.1382028459827244</v>
      </c>
      <c r="AF94" s="140">
        <f t="shared" si="55"/>
        <v>0.13483974055042106</v>
      </c>
    </row>
    <row r="95" spans="1:32" s="75" customFormat="1" ht="21" customHeight="1">
      <c r="A95" s="70" t="s">
        <v>133</v>
      </c>
      <c r="B95" s="71"/>
      <c r="C95" s="125"/>
      <c r="D95" s="125"/>
      <c r="E95" s="125"/>
      <c r="F95" s="124"/>
      <c r="G95" s="124"/>
      <c r="H95" s="124"/>
      <c r="I95" s="124"/>
      <c r="J95" s="124"/>
      <c r="K95" s="125"/>
      <c r="L95" s="125"/>
      <c r="M95" s="125"/>
      <c r="N95" s="125"/>
      <c r="O95" s="125"/>
      <c r="P95" s="124"/>
      <c r="Q95" s="124"/>
      <c r="R95" s="124"/>
      <c r="S95" s="124"/>
      <c r="T95" s="124"/>
      <c r="U95" s="125"/>
      <c r="V95" s="125"/>
      <c r="W95" s="126"/>
      <c r="X95" s="127"/>
      <c r="Y95" s="127"/>
      <c r="Z95" s="127"/>
      <c r="AA95" s="127"/>
      <c r="AB95" s="127"/>
      <c r="AC95" s="127"/>
      <c r="AD95" s="127"/>
      <c r="AE95" s="127"/>
      <c r="AF95" s="127"/>
    </row>
    <row r="96" spans="1:32" s="3" customFormat="1" ht="62.25" customHeight="1">
      <c r="A96" s="113" t="s">
        <v>137</v>
      </c>
      <c r="B96" s="33"/>
      <c r="C96" s="86">
        <f>C97*C98/1000</f>
        <v>0.792</v>
      </c>
      <c r="D96" s="86">
        <f>D97*D98/1000</f>
        <v>0.792</v>
      </c>
      <c r="E96" s="86">
        <f>E97*E98/1000</f>
        <v>0.7704000000000001</v>
      </c>
      <c r="F96" s="86">
        <f>F97*F98/1000</f>
        <v>0.7632000000000001</v>
      </c>
      <c r="G96" s="86">
        <f aca="true" t="shared" si="56" ref="G96:AF96">G97*G98/1000</f>
        <v>0.7632000000000001</v>
      </c>
      <c r="H96" s="86">
        <f t="shared" si="56"/>
        <v>0.7632000000000001</v>
      </c>
      <c r="I96" s="86">
        <f t="shared" si="56"/>
        <v>0.7632000000000001</v>
      </c>
      <c r="J96" s="86">
        <f t="shared" si="56"/>
        <v>0.7632000000000001</v>
      </c>
      <c r="K96" s="86">
        <f t="shared" si="56"/>
        <v>0.7632000000000001</v>
      </c>
      <c r="L96" s="86">
        <f t="shared" si="56"/>
        <v>0.7632000000000001</v>
      </c>
      <c r="M96" s="86">
        <f t="shared" si="56"/>
        <v>0.7632000000000001</v>
      </c>
      <c r="N96" s="86">
        <f t="shared" si="56"/>
        <v>0.7632000000000001</v>
      </c>
      <c r="O96" s="86">
        <f t="shared" si="56"/>
        <v>0.7632000000000001</v>
      </c>
      <c r="P96" s="86">
        <f t="shared" si="56"/>
        <v>0.7632000000000001</v>
      </c>
      <c r="Q96" s="86">
        <f t="shared" si="56"/>
        <v>0.7632000000000001</v>
      </c>
      <c r="R96" s="86">
        <f t="shared" si="56"/>
        <v>0.7632000000000001</v>
      </c>
      <c r="S96" s="86">
        <f t="shared" si="56"/>
        <v>0.7632000000000001</v>
      </c>
      <c r="T96" s="86">
        <f t="shared" si="56"/>
        <v>0.7632000000000001</v>
      </c>
      <c r="U96" s="86">
        <f t="shared" si="56"/>
        <v>0.7632000000000001</v>
      </c>
      <c r="V96" s="86">
        <f t="shared" si="56"/>
        <v>0.7632000000000001</v>
      </c>
      <c r="W96" s="86">
        <f t="shared" si="56"/>
        <v>0.7632000000000001</v>
      </c>
      <c r="X96" s="86">
        <f t="shared" si="56"/>
        <v>0.7632000000000001</v>
      </c>
      <c r="Y96" s="86">
        <f t="shared" si="56"/>
        <v>0.7632000000000001</v>
      </c>
      <c r="Z96" s="86">
        <f t="shared" si="56"/>
        <v>0.7632000000000001</v>
      </c>
      <c r="AA96" s="86">
        <f t="shared" si="56"/>
        <v>0.7632000000000001</v>
      </c>
      <c r="AB96" s="86">
        <f t="shared" si="56"/>
        <v>0.7632000000000001</v>
      </c>
      <c r="AC96" s="86">
        <f t="shared" si="56"/>
        <v>0.7632000000000001</v>
      </c>
      <c r="AD96" s="86">
        <f t="shared" si="56"/>
        <v>0.7632000000000001</v>
      </c>
      <c r="AE96" s="86">
        <f t="shared" si="56"/>
        <v>0.7632000000000001</v>
      </c>
      <c r="AF96" s="86">
        <f t="shared" si="56"/>
        <v>0.7632000000000001</v>
      </c>
    </row>
    <row r="97" spans="1:32" s="3" customFormat="1" ht="48" customHeight="1">
      <c r="A97" s="11" t="s">
        <v>134</v>
      </c>
      <c r="B97" s="33"/>
      <c r="C97" s="86">
        <f>'конкурсная документация'!C$49</f>
        <v>18</v>
      </c>
      <c r="D97" s="86">
        <f>'конкурсная документация'!D$49</f>
        <v>18</v>
      </c>
      <c r="E97" s="86">
        <f>'конкурсная документация'!E$49</f>
        <v>18</v>
      </c>
      <c r="F97" s="86">
        <f>'конкурсная документация'!F$49</f>
        <v>18</v>
      </c>
      <c r="G97" s="86">
        <f>'конкурсная документация'!G$49</f>
        <v>18</v>
      </c>
      <c r="H97" s="86">
        <f>'конкурсная документация'!H$49</f>
        <v>18</v>
      </c>
      <c r="I97" s="86">
        <f>'конкурсная документация'!I$49</f>
        <v>18</v>
      </c>
      <c r="J97" s="86">
        <f>'конкурсная документация'!J$49</f>
        <v>18</v>
      </c>
      <c r="K97" s="86">
        <f>'конкурсная документация'!K$49</f>
        <v>18</v>
      </c>
      <c r="L97" s="86">
        <f>'конкурсная документация'!L$49</f>
        <v>18</v>
      </c>
      <c r="M97" s="86">
        <f>'конкурсная документация'!M$49</f>
        <v>18</v>
      </c>
      <c r="N97" s="86">
        <f>'конкурсная документация'!N$49</f>
        <v>18</v>
      </c>
      <c r="O97" s="86">
        <f>'конкурсная документация'!O$49</f>
        <v>18</v>
      </c>
      <c r="P97" s="86">
        <f>'конкурсная документация'!P$49</f>
        <v>18</v>
      </c>
      <c r="Q97" s="86">
        <f>'конкурсная документация'!Q$49</f>
        <v>18</v>
      </c>
      <c r="R97" s="86">
        <f>'конкурсная документация'!R$49</f>
        <v>18</v>
      </c>
      <c r="S97" s="86">
        <f>'конкурсная документация'!S$49</f>
        <v>18</v>
      </c>
      <c r="T97" s="86">
        <f>'конкурсная документация'!T$49</f>
        <v>18</v>
      </c>
      <c r="U97" s="86">
        <f>'конкурсная документация'!U$49</f>
        <v>18</v>
      </c>
      <c r="V97" s="86">
        <f>'конкурсная документация'!V$49</f>
        <v>18</v>
      </c>
      <c r="W97" s="86">
        <f>'конкурсная документация'!W$49</f>
        <v>18</v>
      </c>
      <c r="X97" s="86">
        <f>'конкурсная документация'!X$49</f>
        <v>18</v>
      </c>
      <c r="Y97" s="86">
        <f>'конкурсная документация'!Y$49</f>
        <v>18</v>
      </c>
      <c r="Z97" s="86">
        <f>'конкурсная документация'!Z$49</f>
        <v>18</v>
      </c>
      <c r="AA97" s="86">
        <f>'конкурсная документация'!AA$49</f>
        <v>18</v>
      </c>
      <c r="AB97" s="86">
        <f>'конкурсная документация'!AB$49</f>
        <v>18</v>
      </c>
      <c r="AC97" s="86">
        <f>'конкурсная документация'!AC$49</f>
        <v>18</v>
      </c>
      <c r="AD97" s="86">
        <f>'конкурсная документация'!AD$49</f>
        <v>18</v>
      </c>
      <c r="AE97" s="86">
        <f>'конкурсная документация'!AE$49</f>
        <v>18</v>
      </c>
      <c r="AF97" s="86">
        <f>'конкурсная документация'!AF$49</f>
        <v>18</v>
      </c>
    </row>
    <row r="98" spans="1:32" s="3" customFormat="1" ht="18.75" customHeight="1">
      <c r="A98" s="11" t="s">
        <v>135</v>
      </c>
      <c r="B98" s="33"/>
      <c r="C98" s="86">
        <f>'конкурсная документация'!$B$15*(1+'конкурсная документация'!C$20)</f>
        <v>44</v>
      </c>
      <c r="D98" s="86">
        <f>'конкурсная документация'!$B$15*(1+'конкурсная документация'!D$20)</f>
        <v>44</v>
      </c>
      <c r="E98" s="86">
        <f>'конкурсная документация'!$B$15*(1+'конкурсная документация'!E$20)</f>
        <v>42.800000000000004</v>
      </c>
      <c r="F98" s="86">
        <f>'конкурсная документация'!$B$15*(1+'конкурсная документация'!F$20)</f>
        <v>42.400000000000006</v>
      </c>
      <c r="G98" s="86">
        <f>'конкурсная документация'!$B$15*(1+'конкурсная документация'!G$20)</f>
        <v>42.400000000000006</v>
      </c>
      <c r="H98" s="86">
        <f>'конкурсная документация'!$B$15*(1+'конкурсная документация'!H$20)</f>
        <v>42.400000000000006</v>
      </c>
      <c r="I98" s="86">
        <f>'конкурсная документация'!$B$15*(1+'конкурсная документация'!I$20)</f>
        <v>42.400000000000006</v>
      </c>
      <c r="J98" s="86">
        <f>'конкурсная документация'!$B$15*(1+'конкурсная документация'!J$20)</f>
        <v>42.400000000000006</v>
      </c>
      <c r="K98" s="86">
        <f>'конкурсная документация'!$B$15*(1+'конкурсная документация'!K$20)</f>
        <v>42.400000000000006</v>
      </c>
      <c r="L98" s="86">
        <f>'конкурсная документация'!$B$15*(1+'конкурсная документация'!L$20)</f>
        <v>42.400000000000006</v>
      </c>
      <c r="M98" s="86">
        <f>'конкурсная документация'!$B$15*(1+'конкурсная документация'!M$20)</f>
        <v>42.400000000000006</v>
      </c>
      <c r="N98" s="86">
        <f>'конкурсная документация'!$B$15*(1+'конкурсная документация'!N$20)</f>
        <v>42.400000000000006</v>
      </c>
      <c r="O98" s="86">
        <f>'конкурсная документация'!$B$15*(1+'конкурсная документация'!O$20)</f>
        <v>42.400000000000006</v>
      </c>
      <c r="P98" s="86">
        <f>'конкурсная документация'!$B$15*(1+'конкурсная документация'!P$20)</f>
        <v>42.400000000000006</v>
      </c>
      <c r="Q98" s="86">
        <f>'конкурсная документация'!$B$15*(1+'конкурсная документация'!Q$20)</f>
        <v>42.400000000000006</v>
      </c>
      <c r="R98" s="86">
        <f>'конкурсная документация'!$B$15*(1+'конкурсная документация'!R$20)</f>
        <v>42.400000000000006</v>
      </c>
      <c r="S98" s="86">
        <f>'конкурсная документация'!$B$15*(1+'конкурсная документация'!S$20)</f>
        <v>42.400000000000006</v>
      </c>
      <c r="T98" s="86">
        <f>'конкурсная документация'!$B$15*(1+'конкурсная документация'!T$20)</f>
        <v>42.400000000000006</v>
      </c>
      <c r="U98" s="86">
        <f>'конкурсная документация'!$B$15*(1+'конкурсная документация'!U$20)</f>
        <v>42.400000000000006</v>
      </c>
      <c r="V98" s="86">
        <f>'конкурсная документация'!$B$15*(1+'конкурсная документация'!V$20)</f>
        <v>42.400000000000006</v>
      </c>
      <c r="W98" s="86">
        <f>'конкурсная документация'!$B$15*(1+'конкурсная документация'!W$20)</f>
        <v>42.400000000000006</v>
      </c>
      <c r="X98" s="86">
        <f>'конкурсная документация'!$B$15*(1+'конкурсная документация'!X$20)</f>
        <v>42.400000000000006</v>
      </c>
      <c r="Y98" s="86">
        <f>'конкурсная документация'!$B$15*(1+'конкурсная документация'!Y$20)</f>
        <v>42.400000000000006</v>
      </c>
      <c r="Z98" s="86">
        <f>'конкурсная документация'!$B$15*(1+'конкурсная документация'!Z$20)</f>
        <v>42.400000000000006</v>
      </c>
      <c r="AA98" s="86">
        <f>'конкурсная документация'!$B$15*(1+'конкурсная документация'!AA$20)</f>
        <v>42.400000000000006</v>
      </c>
      <c r="AB98" s="86">
        <f>'конкурсная документация'!$B$15*(1+'конкурсная документация'!AB$20)</f>
        <v>42.400000000000006</v>
      </c>
      <c r="AC98" s="86">
        <f>'конкурсная документация'!$B$15*(1+'конкурсная документация'!AC$20)</f>
        <v>42.400000000000006</v>
      </c>
      <c r="AD98" s="86">
        <f>'конкурсная документация'!$B$15*(1+'конкурсная документация'!AD$20)</f>
        <v>42.400000000000006</v>
      </c>
      <c r="AE98" s="86">
        <f>'конкурсная документация'!$B$15*(1+'конкурсная документация'!AE$20)</f>
        <v>42.400000000000006</v>
      </c>
      <c r="AF98" s="86">
        <f>'конкурсная документация'!$B$15*(1+'конкурсная документация'!AF$20)</f>
        <v>42.400000000000006</v>
      </c>
    </row>
    <row r="99" spans="1:32" s="26" customFormat="1" ht="15">
      <c r="A99" s="12" t="s">
        <v>42</v>
      </c>
      <c r="B99" s="88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5"/>
      <c r="X99" s="146"/>
      <c r="Y99" s="146"/>
      <c r="Z99" s="146"/>
      <c r="AA99" s="146"/>
      <c r="AB99" s="146"/>
      <c r="AC99" s="146"/>
      <c r="AD99" s="146"/>
      <c r="AE99" s="146"/>
      <c r="AF99" s="146"/>
    </row>
    <row r="100" spans="1:32" s="3" customFormat="1" ht="15">
      <c r="A100" s="27" t="s">
        <v>44</v>
      </c>
      <c r="B100" s="33"/>
      <c r="C100" s="114">
        <f>SUM(C101:C105)</f>
        <v>940.0874651162792</v>
      </c>
      <c r="D100" s="114">
        <f aca="true" t="shared" si="57" ref="D100:AF100">SUM(D101:D105)</f>
        <v>1046.6815493771232</v>
      </c>
      <c r="E100" s="114">
        <f t="shared" si="57"/>
        <v>1138.4334598260193</v>
      </c>
      <c r="F100" s="114">
        <f t="shared" si="57"/>
        <v>1234.4496840568422</v>
      </c>
      <c r="G100" s="114">
        <f>SUM(G101:G105)</f>
        <v>1336.7069315587555</v>
      </c>
      <c r="H100" s="114">
        <f t="shared" si="57"/>
        <v>1443.2964706170874</v>
      </c>
      <c r="I100" s="114">
        <f t="shared" si="57"/>
        <v>1554.4938965248293</v>
      </c>
      <c r="J100" s="114">
        <f t="shared" si="57"/>
        <v>1670.620001717754</v>
      </c>
      <c r="K100" s="114">
        <f t="shared" si="57"/>
        <v>1792.9615971399487</v>
      </c>
      <c r="L100" s="114">
        <f t="shared" si="57"/>
        <v>1920.0659115028072</v>
      </c>
      <c r="M100" s="114">
        <f t="shared" si="57"/>
        <v>2055.6192990034046</v>
      </c>
      <c r="N100" s="114">
        <f t="shared" si="57"/>
        <v>2263.4184415058753</v>
      </c>
      <c r="O100" s="114">
        <f t="shared" si="57"/>
        <v>2551.09305285193</v>
      </c>
      <c r="P100" s="114">
        <f t="shared" si="57"/>
        <v>2927.313249380334</v>
      </c>
      <c r="Q100" s="114">
        <f t="shared" si="57"/>
        <v>10932.017070223948</v>
      </c>
      <c r="R100" s="114">
        <f t="shared" si="57"/>
        <v>3971.497356726206</v>
      </c>
      <c r="S100" s="114">
        <f t="shared" si="57"/>
        <v>4658.75331712983</v>
      </c>
      <c r="T100" s="114">
        <f t="shared" si="57"/>
        <v>5469.466383169259</v>
      </c>
      <c r="U100" s="114">
        <f t="shared" si="57"/>
        <v>6378.711415537112</v>
      </c>
      <c r="V100" s="114">
        <f t="shared" si="57"/>
        <v>7467.995794458406</v>
      </c>
      <c r="W100" s="114">
        <f t="shared" si="57"/>
        <v>8707.156498279488</v>
      </c>
      <c r="X100" s="114">
        <f t="shared" si="57"/>
        <v>10120.907088092876</v>
      </c>
      <c r="Y100" s="114">
        <f t="shared" si="57"/>
        <v>11725.644493802169</v>
      </c>
      <c r="Z100" s="114">
        <f t="shared" si="57"/>
        <v>13539.455602563195</v>
      </c>
      <c r="AA100" s="114">
        <f t="shared" si="57"/>
        <v>15580.946145827793</v>
      </c>
      <c r="AB100" s="114">
        <f t="shared" si="57"/>
        <v>17870.59417135992</v>
      </c>
      <c r="AC100" s="114">
        <f t="shared" si="57"/>
        <v>20430.632325964183</v>
      </c>
      <c r="AD100" s="114">
        <f t="shared" si="57"/>
        <v>23285.189910405697</v>
      </c>
      <c r="AE100" s="114">
        <f t="shared" si="57"/>
        <v>26460.449435604034</v>
      </c>
      <c r="AF100" s="114">
        <f t="shared" si="57"/>
        <v>29984.815839286508</v>
      </c>
    </row>
    <row r="101" spans="1:32" s="3" customFormat="1" ht="15">
      <c r="A101" s="28" t="s">
        <v>39</v>
      </c>
      <c r="B101" s="33"/>
      <c r="C101" s="114">
        <f>C90+C96</f>
        <v>841.0874651162792</v>
      </c>
      <c r="D101" s="114">
        <f aca="true" t="shared" si="58" ref="D101:AF101">D90+D96</f>
        <v>936.9566738121492</v>
      </c>
      <c r="E101" s="114">
        <f t="shared" si="58"/>
        <v>1023.0407101208939</v>
      </c>
      <c r="F101" s="114">
        <f t="shared" si="58"/>
        <v>1110.9794418723582</v>
      </c>
      <c r="G101" s="114">
        <f t="shared" si="58"/>
        <v>1204.5937724213572</v>
      </c>
      <c r="H101" s="114">
        <f t="shared" si="58"/>
        <v>1301.9353903400713</v>
      </c>
      <c r="I101" s="114">
        <f t="shared" si="58"/>
        <v>1403.2375406284223</v>
      </c>
      <c r="J101" s="114">
        <f t="shared" si="58"/>
        <v>1508.775700908598</v>
      </c>
      <c r="K101" s="114">
        <f t="shared" si="58"/>
        <v>1619.788195274152</v>
      </c>
      <c r="L101" s="114">
        <f t="shared" si="58"/>
        <v>1734.7703715064047</v>
      </c>
      <c r="M101" s="114">
        <f t="shared" si="58"/>
        <v>1857.353071207254</v>
      </c>
      <c r="N101" s="114">
        <f t="shared" si="58"/>
        <v>2051.2735777639946</v>
      </c>
      <c r="O101" s="114">
        <f t="shared" si="58"/>
        <v>2324.0980486481176</v>
      </c>
      <c r="P101" s="114">
        <f t="shared" si="58"/>
        <v>2684.4285948822544</v>
      </c>
      <c r="Q101" s="114">
        <f t="shared" si="58"/>
        <v>3137.6025838503674</v>
      </c>
      <c r="R101" s="114">
        <f t="shared" si="58"/>
        <v>3693.4187157913543</v>
      </c>
      <c r="S101" s="114">
        <f t="shared" si="58"/>
        <v>4361.2091713295395</v>
      </c>
      <c r="T101" s="114">
        <f t="shared" si="58"/>
        <v>5151.094147162947</v>
      </c>
      <c r="U101" s="114">
        <f t="shared" si="58"/>
        <v>6038.053123010359</v>
      </c>
      <c r="V101" s="114">
        <f t="shared" si="58"/>
        <v>7103.491421454779</v>
      </c>
      <c r="W101" s="114">
        <f t="shared" si="58"/>
        <v>8317.136819165607</v>
      </c>
      <c r="X101" s="114">
        <f t="shared" si="58"/>
        <v>9703.586031441026</v>
      </c>
      <c r="Y101" s="114">
        <f t="shared" si="58"/>
        <v>11279.110963184688</v>
      </c>
      <c r="Z101" s="114">
        <f t="shared" si="58"/>
        <v>13061.664724802491</v>
      </c>
      <c r="AA101" s="114">
        <f t="shared" si="58"/>
        <v>15069.709906623839</v>
      </c>
      <c r="AB101" s="114">
        <f t="shared" si="58"/>
        <v>17323.571395411687</v>
      </c>
      <c r="AC101" s="114">
        <f t="shared" si="58"/>
        <v>19845.317955699575</v>
      </c>
      <c r="AD101" s="114">
        <f t="shared" si="58"/>
        <v>22658.90353422257</v>
      </c>
      <c r="AE101" s="114">
        <f t="shared" si="58"/>
        <v>25790.323013088084</v>
      </c>
      <c r="AF101" s="114">
        <f t="shared" si="58"/>
        <v>29267.780567194444</v>
      </c>
    </row>
    <row r="102" spans="1:32" s="293" customFormat="1" ht="80.25" customHeight="1">
      <c r="A102" s="286" t="s">
        <v>187</v>
      </c>
      <c r="B102" s="291"/>
      <c r="C102" s="309">
        <f>IF('основные условия'!$J$8=1,'конкурсные предложения'!B16,'конкурсные предложения'!B19)*C12</f>
        <v>11</v>
      </c>
      <c r="D102" s="309">
        <f>IF('основные условия'!$J$8=1,'конкурсные предложения'!C16,'конкурсные предложения'!C19)*D12</f>
        <v>12.100000000000001</v>
      </c>
      <c r="E102" s="309">
        <f>IF('основные условия'!$J$8=1,'конкурсные предложения'!D16,'конкурсные предложения'!D19)*E12</f>
        <v>12.826000000000002</v>
      </c>
      <c r="F102" s="309">
        <f>IF('основные условия'!$J$8=1,'конкурсные предложения'!E16,'конкурсные предложения'!E19)*F12</f>
        <v>13.723820000000002</v>
      </c>
      <c r="G102" s="309">
        <f>IF('основные условия'!$J$8=1,'конкурсные предложения'!F16,'конкурсные предложения'!F19)*G12</f>
        <v>14.684487400000004</v>
      </c>
      <c r="H102" s="309">
        <f>IF('основные условия'!$J$8=1,'конкурсные предложения'!G16,'конкурсные предложения'!G19)*H12</f>
        <v>15.712401518000005</v>
      </c>
      <c r="I102" s="309">
        <f>IF('основные условия'!$J$8=1,'конкурсные предложения'!H16,'конкурсные предложения'!H19)*I12</f>
        <v>16.812269624260008</v>
      </c>
      <c r="J102" s="309">
        <f>IF('основные условия'!$J$8=1,'конкурсные предложения'!I16,'конкурсные предложения'!I19)*J12</f>
        <v>17.98912849795821</v>
      </c>
      <c r="K102" s="309">
        <f>IF('основные условия'!$J$8=1,'конкурсные предложения'!J16,'конкурсные предложения'!J19)*K12</f>
        <v>19.248367492815284</v>
      </c>
      <c r="L102" s="309">
        <f>IF('основные условия'!$J$8=1,'конкурсные предложения'!K16,'конкурсные предложения'!K19)*L12</f>
        <v>20.595753217312357</v>
      </c>
      <c r="M102" s="309">
        <f>IF('основные условия'!$J$8=1,'конкурсные предложения'!L16,'конкурсные предложения'!L19)*M12</f>
        <v>22.03745594252422</v>
      </c>
      <c r="N102" s="309">
        <f>IF('основные условия'!$J$8=1,'конкурсные предложения'!M16,'конкурсные предложения'!M19)*N12</f>
        <v>23.580077858500918</v>
      </c>
      <c r="O102" s="309">
        <f>IF('основные условия'!$J$8=1,'конкурсные предложения'!N16,'конкурсные предложения'!N19)*O12</f>
        <v>25.23068330859598</v>
      </c>
      <c r="P102" s="309">
        <f>IF('основные условия'!$J$8=1,'конкурсные предложения'!O16,'конкурсные предложения'!O19)*P12</f>
        <v>26.996831140197703</v>
      </c>
      <c r="Q102" s="309">
        <f>IF('основные условия'!$J$8=1,'конкурсные предложения'!P16,'конкурсные предложения'!P19)*Q12</f>
        <v>28.886609320011544</v>
      </c>
      <c r="R102" s="309">
        <f>IF('основные условия'!$J$8=1,'конкурсные предложения'!Q16,'конкурсные предложения'!Q19)*R12</f>
        <v>30.90867197241235</v>
      </c>
      <c r="S102" s="309">
        <f>IF('основные условия'!$J$8=1,'конкурсные предложения'!R16,'конкурсные предложения'!R19)*S12</f>
        <v>33.07227901048122</v>
      </c>
      <c r="T102" s="309">
        <f>IF('основные условия'!$J$8=1,'конкурсные предложения'!S16,'конкурсные предложения'!S19)*T12</f>
        <v>35.3873385412149</v>
      </c>
      <c r="U102" s="309">
        <f>IF('основные условия'!$J$8=1,'конкурсные предложения'!T16,'конкурсные предложения'!T19)*U12</f>
        <v>37.86445223909995</v>
      </c>
      <c r="V102" s="309">
        <f>IF('основные условия'!$J$8=1,'конкурсные предложения'!U16,'конкурсные предложения'!U19)*V12</f>
        <v>40.51496389583694</v>
      </c>
      <c r="W102" s="309">
        <f>IF('основные условия'!$J$8=1,'конкурсные предложения'!V16,'конкурсные предложения'!V19)*W12</f>
        <v>43.351011368545535</v>
      </c>
      <c r="X102" s="309">
        <f>IF('основные условия'!$J$8=1,'конкурсные предложения'!W16,'конкурсные предложения'!W19)*X12</f>
        <v>46.385582164343724</v>
      </c>
      <c r="Y102" s="309">
        <f>IF('основные условия'!$J$8=1,'конкурсные предложения'!X16,'конкурсные предложения'!X19)*Y12</f>
        <v>49.63257291584779</v>
      </c>
      <c r="Z102" s="309">
        <f>IF('основные условия'!$J$8=1,'конкурсные предложения'!Y16,'конкурсные предложения'!Y19)*Z12</f>
        <v>53.10685301995714</v>
      </c>
      <c r="AA102" s="309">
        <f>IF('основные условия'!$J$8=1,'конкурсные предложения'!Z16,'конкурсные предложения'!Z19)*AA12</f>
        <v>56.82433273135415</v>
      </c>
      <c r="AB102" s="309">
        <f>IF('основные условия'!$J$8=1,'конкурсные предложения'!AA16,'конкурсные предложения'!AA19)*AB12</f>
        <v>60.80203602254894</v>
      </c>
      <c r="AC102" s="309">
        <f>IF('основные условия'!$J$8=1,'конкурсные предложения'!AB16,'конкурсные предложения'!AB19)*AC12</f>
        <v>65.05817854412737</v>
      </c>
      <c r="AD102" s="309">
        <f>IF('основные условия'!$J$8=1,'конкурсные предложения'!AC16,'конкурсные предложения'!AC19)*AD12</f>
        <v>69.61225104221629</v>
      </c>
      <c r="AE102" s="309">
        <f>IF('основные условия'!$J$8=1,'конкурсные предложения'!AD16,'конкурсные предложения'!AD19)*AE12</f>
        <v>74.48510861517143</v>
      </c>
      <c r="AF102" s="309">
        <f>IF('основные условия'!$J$8=1,'конкурсные предложения'!AE16,'конкурсные предложения'!AE19)*AF12</f>
        <v>79.69906621823343</v>
      </c>
    </row>
    <row r="103" spans="1:32" s="273" customFormat="1" ht="62.25" customHeight="1">
      <c r="A103" s="287" t="s">
        <v>188</v>
      </c>
      <c r="B103" s="271"/>
      <c r="C103" s="271">
        <f>'конкурсные предложения'!B17*C8</f>
        <v>77</v>
      </c>
      <c r="D103" s="271">
        <f>'конкурсные предложения'!C17*D8</f>
        <v>85.47000000000003</v>
      </c>
      <c r="E103" s="271">
        <f>'конкурсные предложения'!D17*E8</f>
        <v>89.74350000000003</v>
      </c>
      <c r="F103" s="271">
        <f>'конкурсные предложения'!E17*F8</f>
        <v>96.02554500000004</v>
      </c>
      <c r="G103" s="271">
        <f>'конкурсные предложения'!F17*G8</f>
        <v>102.74733315000005</v>
      </c>
      <c r="H103" s="271">
        <f>'конкурсные предложения'!G17*H8</f>
        <v>109.93964647050005</v>
      </c>
      <c r="I103" s="271">
        <f>'конкурсные предложения'!H17*I8</f>
        <v>117.63542172343507</v>
      </c>
      <c r="J103" s="271">
        <f>'конкурсные предложения'!I17*J8</f>
        <v>125.86990124407554</v>
      </c>
      <c r="K103" s="271">
        <f>'конкурсные предложения'!J17*K8</f>
        <v>134.68079433116083</v>
      </c>
      <c r="L103" s="271">
        <f>'конкурсные предложения'!K17*L8</f>
        <v>144.10844993434208</v>
      </c>
      <c r="M103" s="271">
        <f>'конкурсные предложения'!L17*M8</f>
        <v>154.19604142974606</v>
      </c>
      <c r="N103" s="271">
        <f>'конкурсные предложения'!M17*N8</f>
        <v>164.98976432982826</v>
      </c>
      <c r="O103" s="271">
        <f>'конкурсные предложения'!N17*O8</f>
        <v>176.53904783291628</v>
      </c>
      <c r="P103" s="271">
        <f>'конкурсные предложения'!O17*P8</f>
        <v>188.8967811812204</v>
      </c>
      <c r="Q103" s="271">
        <f>'конкурсные предложения'!P17*Q8</f>
        <v>202.11955586390587</v>
      </c>
      <c r="R103" s="271">
        <f>'конкурсные предложения'!Q17*R8</f>
        <v>216.2679247743793</v>
      </c>
      <c r="S103" s="271">
        <f>'конкурсные предложения'!R17*S8</f>
        <v>231.40667950858585</v>
      </c>
      <c r="T103" s="271">
        <f>'конкурсные предложения'!S17*T8</f>
        <v>247.6051470741869</v>
      </c>
      <c r="U103" s="271">
        <f>'конкурсные предложения'!T17*U8</f>
        <v>264.93750736938</v>
      </c>
      <c r="V103" s="271">
        <f>'конкурсные предложения'!U17*V8</f>
        <v>283.4831328852366</v>
      </c>
      <c r="W103" s="271">
        <f>'конкурсные предложения'!V17*W8</f>
        <v>303.3269521872032</v>
      </c>
      <c r="X103" s="271">
        <f>'конкурсные предложения'!W17*X8</f>
        <v>324.55983884030735</v>
      </c>
      <c r="Y103" s="271">
        <f>'конкурсные предложения'!X17*Y8</f>
        <v>347.27902755912885</v>
      </c>
      <c r="Z103" s="271">
        <f>'конкурсные предложения'!Y17*Z8</f>
        <v>371.58855948826795</v>
      </c>
      <c r="AA103" s="271">
        <f>'конкурсные предложения'!Z17*AA8</f>
        <v>397.5997586524467</v>
      </c>
      <c r="AB103" s="271">
        <f>'конкурсные предложения'!AA17*AB8</f>
        <v>425.431741758118</v>
      </c>
      <c r="AC103" s="271">
        <f>'конкурсные предложения'!AB17*AC8</f>
        <v>455.2119636811863</v>
      </c>
      <c r="AD103" s="271">
        <f>'конкурсные предложения'!AC17*AD8</f>
        <v>487.07680113886937</v>
      </c>
      <c r="AE103" s="271">
        <f>'конкурсные предложения'!AD17*AE8</f>
        <v>521.1721772185903</v>
      </c>
      <c r="AF103" s="271">
        <f>'конкурсные предложения'!AE17*AF8</f>
        <v>557.6542296238916</v>
      </c>
    </row>
    <row r="104" spans="1:32" s="238" customFormat="1" ht="15" customHeight="1">
      <c r="A104" s="287" t="s">
        <v>189</v>
      </c>
      <c r="B104" s="276"/>
      <c r="C104" s="288">
        <f>'конкурсные предложения'!B18*(C8*C12)^(1/2)</f>
        <v>11</v>
      </c>
      <c r="D104" s="288">
        <f>'конкурсные предложения'!C18*(D8*D12)^(1/2)</f>
        <v>12.154875564973919</v>
      </c>
      <c r="E104" s="288">
        <f>'конкурсные предложения'!D18*(E8*E12)^(1/2)</f>
        <v>12.823249705125455</v>
      </c>
      <c r="F104" s="288">
        <f>'конкурсные предложения'!E18*(F8*F12)^(1/2)</f>
        <v>13.720877184484237</v>
      </c>
      <c r="G104" s="288">
        <f>'конкурсные предложения'!F18*(G8*G12)^(1/2)</f>
        <v>14.681338587398136</v>
      </c>
      <c r="H104" s="288">
        <f>'конкурсные предложения'!G18*(H8*H12)^(1/2)</f>
        <v>15.709032288516005</v>
      </c>
      <c r="I104" s="288">
        <f>'конкурсные предложения'!H18*(I8*I12)^(1/2)</f>
        <v>16.80866454871213</v>
      </c>
      <c r="J104" s="288">
        <f>'конкурсные предложения'!I18*(J8*J12)^(1/2)</f>
        <v>17.985271067121978</v>
      </c>
      <c r="K104" s="288">
        <f>'конкурсные предложения'!J18*(K8*K12)^(1/2)</f>
        <v>19.244240041820518</v>
      </c>
      <c r="L104" s="288">
        <f>'конкурсные предложения'!K18*(L8*L12)^(1/2)</f>
        <v>20.591336844747957</v>
      </c>
      <c r="M104" s="288">
        <f>'конкурсные предложения'!L18*(M8*M12)^(1/2)</f>
        <v>22.03273042388031</v>
      </c>
      <c r="N104" s="288">
        <f>'конкурсные предложения'!M18*(N8*N12)^(1/2)</f>
        <v>23.575021553551938</v>
      </c>
      <c r="O104" s="288">
        <f>'конкурсные предложения'!N18*(O8*O12)^(1/2)</f>
        <v>25.22527306230057</v>
      </c>
      <c r="P104" s="288">
        <f>'конкурсные предложения'!O18*(P8*P12)^(1/2)</f>
        <v>26.99104217666161</v>
      </c>
      <c r="Q104" s="288">
        <f>'конкурсные предложения'!P18*(Q8*Q12)^(1/2)</f>
        <v>28.88041512902793</v>
      </c>
      <c r="R104" s="288">
        <f>'конкурсные предложения'!Q18*(R8*R12)^(1/2)</f>
        <v>30.902044188059886</v>
      </c>
      <c r="S104" s="288">
        <f>'конкурсные предложения'!R18*(S8*S12)^(1/2)</f>
        <v>33.06518728122408</v>
      </c>
      <c r="T104" s="288">
        <f>'конкурсные предложения'!S18*(T8*T12)^(1/2)</f>
        <v>35.37975039090976</v>
      </c>
      <c r="U104" s="288">
        <f>'конкурсные предложения'!T18*(U8*U12)^(1/2)</f>
        <v>37.85633291827345</v>
      </c>
      <c r="V104" s="288">
        <f>'конкурсные предложения'!U18*(V8*V12)^(1/2)</f>
        <v>40.50627622255259</v>
      </c>
      <c r="W104" s="288">
        <f>'конкурсные предложения'!V18*(W8*W12)^(1/2)</f>
        <v>43.34171555813128</v>
      </c>
      <c r="X104" s="288">
        <f>'конкурсные предложения'!W18*(X8*X12)^(1/2)</f>
        <v>46.37563564720047</v>
      </c>
      <c r="Y104" s="288">
        <f>'конкурсные предложения'!X18*(Y8*Y12)^(1/2)</f>
        <v>49.621930142504496</v>
      </c>
      <c r="Z104" s="288">
        <f>'конкурсные предложения'!Y18*(Z8*Z12)^(1/2)</f>
        <v>53.09546525247982</v>
      </c>
      <c r="AA104" s="288">
        <f>'конкурсные предложения'!Z18*(AA8*AA12)^(1/2)</f>
        <v>56.81214782015341</v>
      </c>
      <c r="AB104" s="288">
        <f>'конкурсные предложения'!AA18*(AB8*AB12)^(1/2)</f>
        <v>60.78899816756416</v>
      </c>
      <c r="AC104" s="288">
        <f>'конкурсные предложения'!AB18*(AC8*AC12)^(1/2)</f>
        <v>65.04422803929364</v>
      </c>
      <c r="AD104" s="288">
        <f>'конкурсные предложения'!AC18*(AD8*AD12)^(1/2)</f>
        <v>69.59732400204422</v>
      </c>
      <c r="AE104" s="288">
        <f>'конкурсные предложения'!AD18*(AE8*AE12)^(1/2)</f>
        <v>74.4691366821873</v>
      </c>
      <c r="AF104" s="288">
        <f>'конкурсные предложения'!AE18*(AF8*AF12)^(1/2)</f>
        <v>79.68197624994042</v>
      </c>
    </row>
    <row r="105" spans="1:32" s="3" customFormat="1" ht="62.25" customHeight="1">
      <c r="A105" s="28" t="s">
        <v>43</v>
      </c>
      <c r="B105" s="33"/>
      <c r="C105" s="114">
        <f>IF(C$5='основные условия'!$E$17,C22,0)</f>
        <v>0</v>
      </c>
      <c r="D105" s="114">
        <f>IF(D$5='основные условия'!$E$17,D22,0)</f>
        <v>0</v>
      </c>
      <c r="E105" s="114">
        <f>IF(E$5='основные условия'!$E$17,E22,0)</f>
        <v>0</v>
      </c>
      <c r="F105" s="114">
        <f>IF(F$5='основные условия'!$E$17,F22,0)</f>
        <v>0</v>
      </c>
      <c r="G105" s="114">
        <f>IF(G$5='основные условия'!$E$17,G22,0)</f>
        <v>0</v>
      </c>
      <c r="H105" s="114">
        <f>IF(H$5='основные условия'!$E$17,H22,0)</f>
        <v>0</v>
      </c>
      <c r="I105" s="114">
        <f>IF(I$5='основные условия'!$E$17,I22,0)</f>
        <v>0</v>
      </c>
      <c r="J105" s="114">
        <f>IF(J$5='основные условия'!$E$17,J22,0)</f>
        <v>0</v>
      </c>
      <c r="K105" s="114">
        <f>IF(K$5='основные условия'!$E$17,K22,0)</f>
        <v>0</v>
      </c>
      <c r="L105" s="114">
        <f>IF(L$5='основные условия'!$E$17,L22,0)</f>
        <v>0</v>
      </c>
      <c r="M105" s="114">
        <f>IF(M$5='основные условия'!$E$17,M22,0)</f>
        <v>0</v>
      </c>
      <c r="N105" s="114">
        <f>IF(N$5='основные условия'!$E$17,N22,0)</f>
        <v>0</v>
      </c>
      <c r="O105" s="114">
        <f>IF(O$5='основные условия'!$E$17,O22,0)</f>
        <v>0</v>
      </c>
      <c r="P105" s="114">
        <f>IF(P$5='основные условия'!$E$17,P22,0)</f>
        <v>0</v>
      </c>
      <c r="Q105" s="114">
        <f>IF(Q$5='основные условия'!$E$17,Q22,0)</f>
        <v>7534.527906060636</v>
      </c>
      <c r="R105" s="114">
        <f>IF(R$5='основные условия'!$E$17,R22,0)</f>
        <v>0</v>
      </c>
      <c r="S105" s="114">
        <f>IF(S$5='основные условия'!$E$17,S22,0)</f>
        <v>0</v>
      </c>
      <c r="T105" s="114">
        <f>IF(T$5='основные условия'!$E$17,T22,0)</f>
        <v>0</v>
      </c>
      <c r="U105" s="114">
        <f>IF(U$5='основные условия'!$E$17,U22,0)</f>
        <v>0</v>
      </c>
      <c r="V105" s="114">
        <f>IF(V$5='основные условия'!$E$17,V22,0)</f>
        <v>0</v>
      </c>
      <c r="W105" s="114">
        <f>IF(W$5='основные условия'!$E$17,W22,0)</f>
        <v>0</v>
      </c>
      <c r="X105" s="114">
        <f>IF(X$5='основные условия'!$E$17,X22,0)</f>
        <v>0</v>
      </c>
      <c r="Y105" s="114">
        <f>IF(Y$5='основные условия'!$E$17,Y22,0)</f>
        <v>0</v>
      </c>
      <c r="Z105" s="114">
        <f>IF(Z$5='основные условия'!$E$17,Z22,0)</f>
        <v>0</v>
      </c>
      <c r="AA105" s="114">
        <f>IF(AA$5='основные условия'!$E$17,AA22,0)</f>
        <v>0</v>
      </c>
      <c r="AB105" s="114">
        <f>IF(AB$5='основные условия'!$E$17,AB22,0)</f>
        <v>0</v>
      </c>
      <c r="AC105" s="114">
        <f>IF(AC$5='основные условия'!$E$17,AC22,0)</f>
        <v>0</v>
      </c>
      <c r="AD105" s="114">
        <f>IF(AD$5='основные условия'!$E$17,AD22,0)</f>
        <v>0</v>
      </c>
      <c r="AE105" s="114">
        <f>IF(AE$5='основные условия'!$E$17,AE22,0)</f>
        <v>0</v>
      </c>
      <c r="AF105" s="114">
        <f>IF(AF$5='основные условия'!$E$17,AF22,0)</f>
        <v>0</v>
      </c>
    </row>
    <row r="106" spans="1:32" s="3" customFormat="1" ht="15">
      <c r="A106" s="27" t="s">
        <v>42</v>
      </c>
      <c r="B106" s="33"/>
      <c r="C106" s="114">
        <f>C100/((1+'конкурсная документация'!$B$8)^(C$5-1))</f>
        <v>940.0874651162792</v>
      </c>
      <c r="D106" s="114">
        <f>D100/((1+'конкурсная документация'!$B$8)^(D$5-1))</f>
        <v>945.5117880552152</v>
      </c>
      <c r="E106" s="114">
        <f>E100/((1+'конкурсная документация'!$B$8)^(E$5-1))</f>
        <v>928.992932244442</v>
      </c>
      <c r="F106" s="114">
        <f>F100/((1+'конкурсная документация'!$B$8)^(F$5-1))</f>
        <v>909.9772403733978</v>
      </c>
      <c r="G106" s="114">
        <f>G100/((1+'конкурсная документация'!$B$8)^(G$5-1))</f>
        <v>890.114173770257</v>
      </c>
      <c r="H106" s="114">
        <f>H100/((1+'конкурсная документация'!$B$8)^(H$5-1))</f>
        <v>868.1953295446588</v>
      </c>
      <c r="I106" s="114">
        <f>I100/((1+'конкурсная документация'!$B$8)^(I$5-1))</f>
        <v>844.7015593782445</v>
      </c>
      <c r="J106" s="114">
        <f>J100/((1+'конкурсная документация'!$B$8)^(J$5-1))</f>
        <v>820.0575485379325</v>
      </c>
      <c r="K106" s="114">
        <f>K100/((1+'конкурсная документация'!$B$8)^(K$5-1))</f>
        <v>795.0419061062648</v>
      </c>
      <c r="L106" s="114">
        <f>L100/((1+'конкурсная документация'!$B$8)^(L$5-1))</f>
        <v>769.1083907258885</v>
      </c>
      <c r="M106" s="114">
        <f>M100/((1+'конкурсная документация'!$B$8)^(M$5-1))</f>
        <v>743.8176467300011</v>
      </c>
      <c r="N106" s="114">
        <f>N100/((1+'конкурсная документация'!$B$8)^(N$5-1))</f>
        <v>739.8454723237392</v>
      </c>
      <c r="O106" s="114">
        <f>O100/((1+'конкурсная документация'!$B$8)^(O$5-1))</f>
        <v>753.277246869423</v>
      </c>
      <c r="P106" s="114">
        <f>P100/((1+'конкурсная документация'!$B$8)^(P$5-1))</f>
        <v>780.8185583147288</v>
      </c>
      <c r="Q106" s="114">
        <f>Q100/((1+'конкурсная документация'!$B$8)^(Q$5-1))</f>
        <v>2634.108191306258</v>
      </c>
      <c r="R106" s="114">
        <f>R100/((1+'конкурсная документация'!$B$8)^(R$5-1))</f>
        <v>864.4501712165414</v>
      </c>
      <c r="S106" s="114">
        <f>S100/((1+'конкурсная документация'!$B$8)^(S$5-1))</f>
        <v>916.0259584489386</v>
      </c>
      <c r="T106" s="114">
        <f>T100/((1+'конкурсная документация'!$B$8)^(T$5-1))</f>
        <v>971.483441057939</v>
      </c>
      <c r="U106" s="114">
        <f>U100/((1+'конкурсная документация'!$B$8)^(U$5-1))</f>
        <v>1023.471558635097</v>
      </c>
      <c r="V106" s="114">
        <f>V100/((1+'конкурсная документация'!$B$8)^(V$5-1))</f>
        <v>1082.42862321226</v>
      </c>
      <c r="W106" s="114">
        <f>W100/((1+'конкурсная документация'!$B$8)^(W$5-1))</f>
        <v>1140.0500888184552</v>
      </c>
      <c r="X106" s="114">
        <f>X100/((1+'конкурсная документация'!$B$8)^(X$5-1))</f>
        <v>1197.069593473453</v>
      </c>
      <c r="Y106" s="114">
        <f>Y100/((1+'конкурсная документация'!$B$8)^(Y$5-1))</f>
        <v>1252.82111245463</v>
      </c>
      <c r="Z106" s="114">
        <f>Z100/((1+'конкурсная документация'!$B$8)^(Z$5-1))</f>
        <v>1306.790360577164</v>
      </c>
      <c r="AA106" s="114">
        <f>AA100/((1+'конкурсная документация'!$B$8)^(AA$5-1))</f>
        <v>1358.472731794293</v>
      </c>
      <c r="AB106" s="114">
        <f>AB100/((1+'конкурсная документация'!$B$8)^(AB$5-1))</f>
        <v>1407.500216868712</v>
      </c>
      <c r="AC106" s="114">
        <f>AC100/((1+'конкурсная документация'!$B$8)^(AC$5-1))</f>
        <v>1453.5958197672217</v>
      </c>
      <c r="AD106" s="114">
        <f>AD100/((1+'конкурсная документация'!$B$8)^(AD$5-1))</f>
        <v>1496.5596118505273</v>
      </c>
      <c r="AE106" s="114">
        <f>AE100/((1+'конкурсная документация'!$B$8)^(AE$5-1))</f>
        <v>1536.256848272137</v>
      </c>
      <c r="AF106" s="114">
        <f>AF100/((1+'конкурсная документация'!$B$8)^(AF$5-1))</f>
        <v>1572.6076368731722</v>
      </c>
    </row>
  </sheetData>
  <sheetProtection formatCells="0" formatColumns="0" formatRows="0" sort="0" autoFilter="0"/>
  <printOptions/>
  <pageMargins left="0.31496062992125984" right="0.1968503937007874" top="0.35433070866141736" bottom="0.35433070866141736" header="0.5118110236220472" footer="0.5118110236220472"/>
  <pageSetup horizontalDpi="300" verticalDpi="300" orientation="landscape" paperSize="9" scale="90" r:id="rId1"/>
  <colBreaks count="1" manualBreakCount="1">
    <brk id="10" max="1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AG27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6" sqref="F16"/>
    </sheetView>
  </sheetViews>
  <sheetFormatPr defaultColWidth="9.140625" defaultRowHeight="15"/>
  <cols>
    <col min="1" max="1" width="40.421875" style="0" customWidth="1"/>
    <col min="6" max="6" width="8.8515625" style="0" customWidth="1"/>
  </cols>
  <sheetData>
    <row r="3" spans="1:32" ht="15">
      <c r="A3" s="327" t="s">
        <v>103</v>
      </c>
      <c r="B3" s="78" t="s">
        <v>102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1"/>
    </row>
    <row r="4" spans="1:32" ht="15">
      <c r="A4" s="328"/>
      <c r="B4" s="30">
        <v>0</v>
      </c>
      <c r="C4" s="3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>
        <v>10</v>
      </c>
      <c r="M4" s="32">
        <v>11</v>
      </c>
      <c r="N4" s="32">
        <v>12</v>
      </c>
      <c r="O4" s="32">
        <v>13</v>
      </c>
      <c r="P4" s="32">
        <v>14</v>
      </c>
      <c r="Q4" s="32">
        <v>15</v>
      </c>
      <c r="R4" s="32">
        <v>16</v>
      </c>
      <c r="S4" s="32">
        <v>17</v>
      </c>
      <c r="T4" s="32">
        <v>18</v>
      </c>
      <c r="U4" s="32">
        <v>19</v>
      </c>
      <c r="V4" s="32">
        <v>20</v>
      </c>
      <c r="W4" s="32">
        <v>21</v>
      </c>
      <c r="X4" s="32">
        <v>22</v>
      </c>
      <c r="Y4" s="32">
        <v>23</v>
      </c>
      <c r="Z4" s="32">
        <v>24</v>
      </c>
      <c r="AA4" s="32">
        <v>25</v>
      </c>
      <c r="AB4" s="32">
        <v>26</v>
      </c>
      <c r="AC4" s="32">
        <v>27</v>
      </c>
      <c r="AD4" s="32">
        <v>28</v>
      </c>
      <c r="AE4" s="32">
        <v>29</v>
      </c>
      <c r="AF4" s="32">
        <v>30</v>
      </c>
    </row>
    <row r="5" spans="1:32" ht="45">
      <c r="A5" s="317" t="s">
        <v>140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5">
      <c r="A6" s="226" t="s">
        <v>45</v>
      </c>
      <c r="B6" s="149">
        <f>IF(AND('основные условия'!$J$6=1,B$4&lt;('основные условия'!$E$17+1)),'результат расчета'!B20,"")</f>
        <v>500</v>
      </c>
      <c r="C6" s="149">
        <f>IF(AND('основные условия'!$J$6=1,C$4&lt;('основные условия'!$E$17+1)),'результат расчета'!C20,"")</f>
        <v>940.0874651162792</v>
      </c>
      <c r="D6" s="149">
        <f>IF(AND('основные условия'!$J$6=1,D$4&lt;('основные условия'!$E$17+1)),'результат расчета'!D20,"")</f>
        <v>1046.6815493771232</v>
      </c>
      <c r="E6" s="149">
        <f>IF(AND('основные условия'!$J$6=1,E$4&lt;('основные условия'!$E$17+1)),'результат расчета'!E20,"")</f>
        <v>1138.4334598260193</v>
      </c>
      <c r="F6" s="149">
        <f>IF(AND('основные условия'!$J$6=1,F$4&lt;('основные условия'!$E$17+1)),'результат расчета'!F20,"")</f>
        <v>1234.4496840568422</v>
      </c>
      <c r="G6" s="149">
        <f>IF(AND('основные условия'!$J$6=1,G$4&lt;('основные условия'!$E$17+1)),'результат расчета'!G20,"")</f>
        <v>1336.7069315587555</v>
      </c>
      <c r="H6" s="149">
        <f>IF(AND('основные условия'!$J$6=1,H$4&lt;('основные условия'!$E$17+1)),'результат расчета'!H20,"")</f>
        <v>1443.2964706170874</v>
      </c>
      <c r="I6" s="149">
        <f>IF(AND('основные условия'!$J$6=1,I$4&lt;('основные условия'!$E$17+1)),'результат расчета'!I20,"")</f>
        <v>1554.4938965248293</v>
      </c>
      <c r="J6" s="149">
        <f>IF(AND('основные условия'!$J$6=1,J$4&lt;('основные условия'!$E$17+1)),'результат расчета'!J20,"")</f>
        <v>1670.620001717754</v>
      </c>
      <c r="K6" s="149">
        <f>IF(AND('основные условия'!$J$6=1,K$4&lt;('основные условия'!$E$17+1)),'результат расчета'!K20,"")</f>
        <v>1792.9615971399487</v>
      </c>
      <c r="L6" s="149">
        <f>IF(AND('основные условия'!$J$6=1,L$4&lt;('основные условия'!$E$17+1)),'результат расчета'!L20,"")</f>
        <v>1920.0659115028072</v>
      </c>
      <c r="M6" s="149">
        <f>IF(AND('основные условия'!$J$6=1,M$4&lt;('основные условия'!$E$17+1)),'результат расчета'!M20,"")</f>
        <v>2055.6192990034046</v>
      </c>
      <c r="N6" s="149">
        <f>IF(AND('основные условия'!$J$6=1,N$4&lt;('основные условия'!$E$17+1)),'результат расчета'!N20,"")</f>
        <v>2263.4184415058753</v>
      </c>
      <c r="O6" s="149">
        <f>IF(AND('основные условия'!$J$6=1,O$4&lt;('основные условия'!$E$17+1)),'результат расчета'!O20,"")</f>
        <v>2551.09305285193</v>
      </c>
      <c r="P6" s="149">
        <f>IF(AND('основные условия'!$J$6=1,P$4&lt;('основные условия'!$E$17+1)),'результат расчета'!P20,"")</f>
        <v>2927.313249380334</v>
      </c>
      <c r="Q6" s="149">
        <f>IF(AND('основные условия'!$J$6=1,Q$4&lt;('основные условия'!$E$17+1)),'результат расчета'!Q20,"")</f>
        <v>10932.017070223948</v>
      </c>
      <c r="R6" s="115">
        <f>IF(AND('основные условия'!$J$6=1,R$4&lt;('основные условия'!$E$17+1)),'результат расчета'!R20,"")</f>
      </c>
      <c r="S6" s="115">
        <f>IF(AND('основные условия'!$J$6=1,S$4&lt;('основные условия'!$E$17+1)),'результат расчета'!S20,"")</f>
      </c>
      <c r="T6" s="115">
        <f>IF(AND('основные условия'!$J$6=1,T$4&lt;('основные условия'!$E$17+1)),'результат расчета'!T20,"")</f>
      </c>
      <c r="U6" s="115">
        <f>IF(AND('основные условия'!$J$6=1,U$4&lt;('основные условия'!$E$17+1)),'результат расчета'!U20,"")</f>
      </c>
      <c r="V6" s="115">
        <f>IF(AND('основные условия'!$J$6=1,V$4&lt;('основные условия'!$E$17+1)),'результат расчета'!V20,"")</f>
      </c>
      <c r="W6" s="115">
        <f>IF(AND('основные условия'!$J$6=1,W$4&lt;('основные условия'!$E$17+1)),'результат расчета'!W20,"")</f>
      </c>
      <c r="X6" s="115">
        <f>IF(AND('основные условия'!$J$6=1,X$4&lt;('основные условия'!$E$17+1)),'результат расчета'!X20,"")</f>
      </c>
      <c r="Y6" s="115">
        <f>IF(AND('основные условия'!$J$6=1,Y$4&lt;('основные условия'!$E$17+1)),'результат расчета'!Y20,"")</f>
      </c>
      <c r="Z6" s="115">
        <f>IF(AND('основные условия'!$J$6=1,Z$4&lt;('основные условия'!$E$17+1)),'результат расчета'!Z20,"")</f>
      </c>
      <c r="AA6" s="115">
        <f>IF(AND('основные условия'!$J$6=1,AA$4&lt;('основные условия'!$E$17+1)),'результат расчета'!AA20,"")</f>
      </c>
      <c r="AB6" s="115">
        <f>IF(AND('основные условия'!$J$6=1,AB$4&lt;('основные условия'!$E$17+1)),'результат расчета'!AB20,"")</f>
      </c>
      <c r="AC6" s="115">
        <f>IF(AND('основные условия'!$J$6=1,AC$4&lt;('основные условия'!$E$17+1)),'результат расчета'!AC20,"")</f>
      </c>
      <c r="AD6" s="115">
        <f>IF(AND('основные условия'!$J$6=1,AD$4&lt;('основные условия'!$E$17+1)),'результат расчета'!AD20,"")</f>
      </c>
      <c r="AE6" s="115">
        <f>IF(AND('основные условия'!$J$6=1,AE$4&lt;('основные условия'!$E$17+1)),'результат расчета'!AE20,"")</f>
      </c>
      <c r="AF6" s="115">
        <f>IF(AND('основные условия'!$J$6=1,AF$4&lt;('основные условия'!$E$17+1)),'результат расчета'!AF20,"")</f>
      </c>
    </row>
    <row r="7" spans="1:32" ht="45">
      <c r="A7" s="117" t="s">
        <v>139</v>
      </c>
      <c r="B7" s="149">
        <f>IF(AND('основные условия'!$J$6=1,B$4&lt;('основные условия'!$E$17+1)),'результат расчета'!B21,"")</f>
        <v>500</v>
      </c>
      <c r="C7" s="149">
        <f>IF(AND('основные условия'!$J$6=1,C$4&lt;('основные условия'!$E$17+1)),'результат расчета'!C21,"")</f>
        <v>840.2954651162792</v>
      </c>
      <c r="D7" s="149">
        <f>IF(AND('основные условия'!$J$6=1,D$4&lt;('основные условия'!$E$17+1)),'результат расчета'!D21,"")</f>
        <v>936.1646738121492</v>
      </c>
      <c r="E7" s="149">
        <f>IF(AND('основные условия'!$J$6=1,E$4&lt;('основные условия'!$E$17+1)),'результат расчета'!E21,"")</f>
        <v>1022.2703101208939</v>
      </c>
      <c r="F7" s="149">
        <f>IF(AND('основные условия'!$J$6=1,F$4&lt;('основные условия'!$E$17+1)),'результат расчета'!F21,"")</f>
        <v>1110.216241872358</v>
      </c>
      <c r="G7" s="149">
        <f>IF(AND('основные условия'!$J$6=1,G$4&lt;('основные условия'!$E$17+1)),'результат расчета'!G21,"")</f>
        <v>1203.8305724213571</v>
      </c>
      <c r="H7" s="149">
        <f>IF(AND('основные условия'!$J$6=1,H$4&lt;('основные условия'!$E$17+1)),'результат расчета'!H21,"")</f>
        <v>1301.1721903400712</v>
      </c>
      <c r="I7" s="149">
        <f>IF(AND('основные условия'!$J$6=1,I$4&lt;('основные условия'!$E$17+1)),'результат расчета'!I21,"")</f>
        <v>1402.4743406284222</v>
      </c>
      <c r="J7" s="149">
        <f>IF(AND('основные условия'!$J$6=1,J$4&lt;('основные условия'!$E$17+1)),'результат расчета'!J21,"")</f>
        <v>1508.012500908598</v>
      </c>
      <c r="K7" s="149">
        <f>IF(AND('основные условия'!$J$6=1,K$4&lt;('основные условия'!$E$17+1)),'результат расчета'!K21,"")</f>
        <v>1619.024995274152</v>
      </c>
      <c r="L7" s="149">
        <f>IF(AND('основные условия'!$J$6=1,L$4&lt;('основные условия'!$E$17+1)),'результат расчета'!L21,"")</f>
        <v>1734.0071715064046</v>
      </c>
      <c r="M7" s="149">
        <f>IF(AND('основные условия'!$J$6=1,M$4&lt;('основные условия'!$E$17+1)),'результат расчета'!M21,"")</f>
        <v>1856.589871207254</v>
      </c>
      <c r="N7" s="149">
        <f>IF(AND('основные условия'!$J$6=1,N$4&lt;('основные условия'!$E$17+1)),'результат расчета'!N21,"")</f>
        <v>2050.5103777639947</v>
      </c>
      <c r="O7" s="149">
        <f>IF(AND('основные условия'!$J$6=1,O$4&lt;('основные условия'!$E$17+1)),'результат расчета'!O21,"")</f>
        <v>2323.3348486481177</v>
      </c>
      <c r="P7" s="149">
        <f>IF(AND('основные условия'!$J$6=1,P$4&lt;('основные условия'!$E$17+1)),'результат расчета'!P21,"")</f>
        <v>2683.6653948822545</v>
      </c>
      <c r="Q7" s="149">
        <f>IF(AND('основные условия'!$J$6=1,Q$4&lt;('основные условия'!$E$17+1)),'результат расчета'!Q21,"")</f>
        <v>3136.8393838503675</v>
      </c>
      <c r="R7" s="115">
        <f>IF(AND('основные условия'!$J$6=1,R$4&lt;('основные условия'!$E$17+1)),'результат расчета'!R21,"")</f>
      </c>
      <c r="S7" s="115">
        <f>IF(AND('основные условия'!$J$6=1,S$4&lt;('основные условия'!$E$17+1)),'результат расчета'!S21,"")</f>
      </c>
      <c r="T7" s="115">
        <f>IF(AND('основные условия'!$J$6=1,T$4&lt;('основные условия'!$E$17+1)),'результат расчета'!T21,"")</f>
      </c>
      <c r="U7" s="115">
        <f>IF(AND('основные условия'!$J$6=1,U$4&lt;('основные условия'!$E$17+1)),'результат расчета'!U21,"")</f>
      </c>
      <c r="V7" s="115">
        <f>IF(AND('основные условия'!$J$6=1,V$4&lt;('основные условия'!$E$17+1)),'результат расчета'!V21,"")</f>
      </c>
      <c r="W7" s="115">
        <f>IF(AND('основные условия'!$J$6=1,W$4&lt;('основные условия'!$E$17+1)),'результат расчета'!W21,"")</f>
      </c>
      <c r="X7" s="115">
        <f>IF(AND('основные условия'!$J$6=1,X$4&lt;('основные условия'!$E$17+1)),'результат расчета'!X21,"")</f>
      </c>
      <c r="Y7" s="115">
        <f>IF(AND('основные условия'!$J$6=1,Y$4&lt;('основные условия'!$E$17+1)),'результат расчета'!Y21,"")</f>
      </c>
      <c r="Z7" s="115">
        <f>IF(AND('основные условия'!$J$6=1,Z$4&lt;('основные условия'!$E$17+1)),'результат расчета'!Z21,"")</f>
      </c>
      <c r="AA7" s="115">
        <f>IF(AND('основные условия'!$J$6=1,AA$4&lt;('основные условия'!$E$17+1)),'результат расчета'!AA21,"")</f>
      </c>
      <c r="AB7" s="115">
        <f>IF(AND('основные условия'!$J$6=1,AB$4&lt;('основные условия'!$E$17+1)),'результат расчета'!AB21,"")</f>
      </c>
      <c r="AC7" s="115">
        <f>IF(AND('основные условия'!$J$6=1,AC$4&lt;('основные условия'!$E$17+1)),'результат расчета'!AC21,"")</f>
      </c>
      <c r="AD7" s="115">
        <f>IF(AND('основные условия'!$J$6=1,AD$4&lt;('основные условия'!$E$17+1)),'результат расчета'!AD21,"")</f>
      </c>
      <c r="AE7" s="115">
        <f>IF(AND('основные условия'!$J$6=1,AE$4&lt;('основные условия'!$E$17+1)),'результат расчета'!AE21,"")</f>
      </c>
      <c r="AF7" s="115">
        <f>IF(AND('основные условия'!$J$6=1,AF$4&lt;('основные условия'!$E$17+1)),'результат расчета'!AF21,"")</f>
      </c>
    </row>
    <row r="8" spans="1:32" ht="30">
      <c r="A8" s="117" t="s">
        <v>138</v>
      </c>
      <c r="B8" s="149">
        <f>IF(AND('основные условия'!$J$6=1,B$4&lt;('основные условия'!$E$17+1)),'результат расчета'!B22,"")</f>
        <v>0</v>
      </c>
      <c r="C8" s="149">
        <f>IF(AND('основные условия'!$J$6=1,C$4&lt;('основные условия'!$E$17+1)),'результат расчета'!C22,"")</f>
        <v>0.792</v>
      </c>
      <c r="D8" s="149">
        <f>IF(AND('основные условия'!$J$6=1,D$4&lt;('основные условия'!$E$17+1)),'результат расчета'!D22,"")</f>
        <v>0.792</v>
      </c>
      <c r="E8" s="149">
        <f>IF(AND('основные условия'!$J$6=1,E$4&lt;('основные условия'!$E$17+1)),'результат расчета'!E22,"")</f>
        <v>0.7704000000000001</v>
      </c>
      <c r="F8" s="149">
        <f>IF(AND('основные условия'!$J$6=1,F$4&lt;('основные условия'!$E$17+1)),'результат расчета'!F22,"")</f>
        <v>0.7632000000000001</v>
      </c>
      <c r="G8" s="149">
        <f>IF(AND('основные условия'!$J$6=1,G$4&lt;('основные условия'!$E$17+1)),'результат расчета'!G22,"")</f>
        <v>0.7632000000000001</v>
      </c>
      <c r="H8" s="149">
        <f>IF(AND('основные условия'!$J$6=1,H$4&lt;('основные условия'!$E$17+1)),'результат расчета'!H22,"")</f>
        <v>0.7632000000000001</v>
      </c>
      <c r="I8" s="149">
        <f>IF(AND('основные условия'!$J$6=1,I$4&lt;('основные условия'!$E$17+1)),'результат расчета'!I22,"")</f>
        <v>0.7632000000000001</v>
      </c>
      <c r="J8" s="149">
        <f>IF(AND('основные условия'!$J$6=1,J$4&lt;('основные условия'!$E$17+1)),'результат расчета'!J22,"")</f>
        <v>0.7632000000000001</v>
      </c>
      <c r="K8" s="149">
        <f>IF(AND('основные условия'!$J$6=1,K$4&lt;('основные условия'!$E$17+1)),'результат расчета'!K22,"")</f>
        <v>0.7632000000000001</v>
      </c>
      <c r="L8" s="149">
        <f>IF(AND('основные условия'!$J$6=1,L$4&lt;('основные условия'!$E$17+1)),'результат расчета'!L22,"")</f>
        <v>0.7632000000000001</v>
      </c>
      <c r="M8" s="149">
        <f>IF(AND('основные условия'!$J$6=1,M$4&lt;('основные условия'!$E$17+1)),'результат расчета'!M22,"")</f>
        <v>0.7632000000000001</v>
      </c>
      <c r="N8" s="149">
        <f>IF(AND('основные условия'!$J$6=1,N$4&lt;('основные условия'!$E$17+1)),'результат расчета'!N22,"")</f>
        <v>0.7632000000000001</v>
      </c>
      <c r="O8" s="149">
        <f>IF(AND('основные условия'!$J$6=1,O$4&lt;('основные условия'!$E$17+1)),'результат расчета'!O22,"")</f>
        <v>0.7632000000000001</v>
      </c>
      <c r="P8" s="149">
        <f>IF(AND('основные условия'!$J$6=1,P$4&lt;('основные условия'!$E$17+1)),'результат расчета'!P22,"")</f>
        <v>0.7632000000000001</v>
      </c>
      <c r="Q8" s="149">
        <f>IF(AND('основные условия'!$J$6=1,Q$4&lt;('основные условия'!$E$17+1)),'результат расчета'!Q22,"")</f>
        <v>0.7632000000000001</v>
      </c>
      <c r="R8" s="115">
        <f>IF(AND('основные условия'!$J$6=1,R$4&lt;('основные условия'!$E$17+1)),'результат расчета'!R22,"")</f>
      </c>
      <c r="S8" s="115">
        <f>IF(AND('основные условия'!$J$6=1,S$4&lt;('основные условия'!$E$17+1)),'результат расчета'!S22,"")</f>
      </c>
      <c r="T8" s="115">
        <f>IF(AND('основные условия'!$J$6=1,T$4&lt;('основные условия'!$E$17+1)),'результат расчета'!T22,"")</f>
      </c>
      <c r="U8" s="115">
        <f>IF(AND('основные условия'!$J$6=1,U$4&lt;('основные условия'!$E$17+1)),'результат расчета'!U22,"")</f>
      </c>
      <c r="V8" s="115">
        <f>IF(AND('основные условия'!$J$6=1,V$4&lt;('основные условия'!$E$17+1)),'результат расчета'!V22,"")</f>
      </c>
      <c r="W8" s="115">
        <f>IF(AND('основные условия'!$J$6=1,W$4&lt;('основные условия'!$E$17+1)),'результат расчета'!W22,"")</f>
      </c>
      <c r="X8" s="115">
        <f>IF(AND('основные условия'!$J$6=1,X$4&lt;('основные условия'!$E$17+1)),'результат расчета'!X22,"")</f>
      </c>
      <c r="Y8" s="115">
        <f>IF(AND('основные условия'!$J$6=1,Y$4&lt;('основные условия'!$E$17+1)),'результат расчета'!Y22,"")</f>
      </c>
      <c r="Z8" s="115">
        <f>IF(AND('основные условия'!$J$6=1,Z$4&lt;('основные условия'!$E$17+1)),'результат расчета'!Z22,"")</f>
      </c>
      <c r="AA8" s="115">
        <f>IF(AND('основные условия'!$J$6=1,AA$4&lt;('основные условия'!$E$17+1)),'результат расчета'!AA22,"")</f>
      </c>
      <c r="AB8" s="115">
        <f>IF(AND('основные условия'!$J$6=1,AB$4&lt;('основные условия'!$E$17+1)),'результат расчета'!AB22,"")</f>
      </c>
      <c r="AC8" s="115">
        <f>IF(AND('основные условия'!$J$6=1,AC$4&lt;('основные условия'!$E$17+1)),'результат расчета'!AC22,"")</f>
      </c>
      <c r="AD8" s="115">
        <f>IF(AND('основные условия'!$J$6=1,AD$4&lt;('основные условия'!$E$17+1)),'результат расчета'!AD22,"")</f>
      </c>
      <c r="AE8" s="115">
        <f>IF(AND('основные условия'!$J$6=1,AE$4&lt;('основные условия'!$E$17+1)),'результат расчета'!AE22,"")</f>
      </c>
      <c r="AF8" s="115">
        <f>IF(AND('основные условия'!$J$6=1,AF$4&lt;('основные условия'!$E$17+1)),'результат расчета'!AF22,"")</f>
      </c>
    </row>
    <row r="9" spans="1:32" ht="81.75" customHeight="1">
      <c r="A9" s="315" t="s">
        <v>187</v>
      </c>
      <c r="B9" s="149">
        <f>IF(AND('основные условия'!$J$6=1,B$4&lt;('основные условия'!$E$17+1)),'результат расчета'!B23,"")</f>
        <v>0</v>
      </c>
      <c r="C9" s="149">
        <f>IF(AND('основные условия'!$J$6=1,C$4&lt;('основные условия'!$E$17+1)),'результат расчета'!C23,"")</f>
        <v>11</v>
      </c>
      <c r="D9" s="149">
        <f>IF(AND('основные условия'!$J$6=1,D$4&lt;('основные условия'!$E$17+1)),'результат расчета'!D23,"")</f>
        <v>12.100000000000001</v>
      </c>
      <c r="E9" s="149">
        <f>IF(AND('основные условия'!$J$6=1,E$4&lt;('основные условия'!$E$17+1)),'результат расчета'!E23,"")</f>
        <v>12.826000000000002</v>
      </c>
      <c r="F9" s="149">
        <f>IF(AND('основные условия'!$J$6=1,F$4&lt;('основные условия'!$E$17+1)),'результат расчета'!F23,"")</f>
        <v>13.723820000000002</v>
      </c>
      <c r="G9" s="149">
        <f>IF(AND('основные условия'!$J$6=1,G$4&lt;('основные условия'!$E$17+1)),'результат расчета'!G23,"")</f>
        <v>14.684487400000004</v>
      </c>
      <c r="H9" s="149">
        <f>IF(AND('основные условия'!$J$6=1,H$4&lt;('основные условия'!$E$17+1)),'результат расчета'!H23,"")</f>
        <v>15.712401518000005</v>
      </c>
      <c r="I9" s="149">
        <f>IF(AND('основные условия'!$J$6=1,I$4&lt;('основные условия'!$E$17+1)),'результат расчета'!I23,"")</f>
        <v>16.812269624260008</v>
      </c>
      <c r="J9" s="149">
        <f>IF(AND('основные условия'!$J$6=1,J$4&lt;('основные условия'!$E$17+1)),'результат расчета'!J23,"")</f>
        <v>17.98912849795821</v>
      </c>
      <c r="K9" s="149">
        <f>IF(AND('основные условия'!$J$6=1,K$4&lt;('основные условия'!$E$17+1)),'результат расчета'!K23,"")</f>
        <v>19.248367492815284</v>
      </c>
      <c r="L9" s="149">
        <f>IF(AND('основные условия'!$J$6=1,L$4&lt;('основные условия'!$E$17+1)),'результат расчета'!L23,"")</f>
        <v>20.595753217312357</v>
      </c>
      <c r="M9" s="149">
        <f>IF(AND('основные условия'!$J$6=1,M$4&lt;('основные условия'!$E$17+1)),'результат расчета'!M23,"")</f>
        <v>22.03745594252422</v>
      </c>
      <c r="N9" s="149">
        <f>IF(AND('основные условия'!$J$6=1,N$4&lt;('основные условия'!$E$17+1)),'результат расчета'!N23,"")</f>
        <v>23.580077858500918</v>
      </c>
      <c r="O9" s="149">
        <f>IF(AND('основные условия'!$J$6=1,O$4&lt;('основные условия'!$E$17+1)),'результат расчета'!O23,"")</f>
        <v>25.23068330859598</v>
      </c>
      <c r="P9" s="149">
        <f>IF(AND('основные условия'!$J$6=1,P$4&lt;('основные условия'!$E$17+1)),'результат расчета'!P23,"")</f>
        <v>26.996831140197703</v>
      </c>
      <c r="Q9" s="149">
        <f>IF(AND('основные условия'!$J$6=1,Q$4&lt;('основные условия'!$E$17+1)),'результат расчета'!Q23,"")</f>
        <v>28.886609320011544</v>
      </c>
      <c r="R9" s="115">
        <f>IF(AND('основные условия'!$J$6=1,R$4&lt;('основные условия'!$E$17+1)),'результат расчета'!R23,"")</f>
      </c>
      <c r="S9" s="115">
        <f>IF(AND('основные условия'!$J$6=1,S$4&lt;('основные условия'!$E$17+1)),'результат расчета'!S23,"")</f>
      </c>
      <c r="T9" s="115">
        <f>IF(AND('основные условия'!$J$6=1,T$4&lt;('основные условия'!$E$17+1)),'результат расчета'!T23,"")</f>
      </c>
      <c r="U9" s="115">
        <f>IF(AND('основные условия'!$J$6=1,U$4&lt;('основные условия'!$E$17+1)),'результат расчета'!U23,"")</f>
      </c>
      <c r="V9" s="115">
        <f>IF(AND('основные условия'!$J$6=1,V$4&lt;('основные условия'!$E$17+1)),'результат расчета'!V23,"")</f>
      </c>
      <c r="W9" s="115">
        <f>IF(AND('основные условия'!$J$6=1,W$4&lt;('основные условия'!$E$17+1)),'результат расчета'!W23,"")</f>
      </c>
      <c r="X9" s="115">
        <f>IF(AND('основные условия'!$J$6=1,X$4&lt;('основные условия'!$E$17+1)),'результат расчета'!X23,"")</f>
      </c>
      <c r="Y9" s="115">
        <f>IF(AND('основные условия'!$J$6=1,Y$4&lt;('основные условия'!$E$17+1)),'результат расчета'!Y23,"")</f>
      </c>
      <c r="Z9" s="115">
        <f>IF(AND('основные условия'!$J$6=1,Z$4&lt;('основные условия'!$E$17+1)),'результат расчета'!Z23,"")</f>
      </c>
      <c r="AA9" s="115">
        <f>IF(AND('основные условия'!$J$6=1,AA$4&lt;('основные условия'!$E$17+1)),'результат расчета'!AA23,"")</f>
      </c>
      <c r="AB9" s="115">
        <f>IF(AND('основные условия'!$J$6=1,AB$4&lt;('основные условия'!$E$17+1)),'результат расчета'!AB23,"")</f>
      </c>
      <c r="AC9" s="115">
        <f>IF(AND('основные условия'!$J$6=1,AC$4&lt;('основные условия'!$E$17+1)),'результат расчета'!AC23,"")</f>
      </c>
      <c r="AD9" s="115">
        <f>IF(AND('основные условия'!$J$6=1,AD$4&lt;('основные условия'!$E$17+1)),'результат расчета'!AD23,"")</f>
      </c>
      <c r="AE9" s="115">
        <f>IF(AND('основные условия'!$J$6=1,AE$4&lt;('основные условия'!$E$17+1)),'результат расчета'!AE23,"")</f>
      </c>
      <c r="AF9" s="115">
        <f>IF(AND('основные условия'!$J$6=1,AF$4&lt;('основные условия'!$E$17+1)),'результат расчета'!AF23,"")</f>
      </c>
    </row>
    <row r="10" spans="1:32" s="314" customFormat="1" ht="60">
      <c r="A10" s="310" t="s">
        <v>188</v>
      </c>
      <c r="B10" s="312">
        <f>IF(AND('основные условия'!$J$6=1,B$4&lt;('основные условия'!$E$17+1)),'результат расчета'!B24,"")</f>
        <v>0</v>
      </c>
      <c r="C10" s="312">
        <f>IF(AND('основные условия'!$J$6=1,C$4&lt;('основные условия'!$E$17+1)),'результат расчета'!C24,"")</f>
        <v>77</v>
      </c>
      <c r="D10" s="312">
        <f>IF(AND('основные условия'!$J$6=1,D$4&lt;('основные условия'!$E$17+1)),'результат расчета'!D24,"")</f>
        <v>85.47000000000003</v>
      </c>
      <c r="E10" s="312">
        <f>IF(AND('основные условия'!$J$6=1,E$4&lt;('основные условия'!$E$17+1)),'результат расчета'!E24,"")</f>
        <v>89.74350000000003</v>
      </c>
      <c r="F10" s="312">
        <f>IF(AND('основные условия'!$J$6=1,F$4&lt;('основные условия'!$E$17+1)),'результат расчета'!F24,"")</f>
        <v>96.02554500000004</v>
      </c>
      <c r="G10" s="312">
        <f>IF(AND('основные условия'!$J$6=1,G$4&lt;('основные условия'!$E$17+1)),'результат расчета'!G24,"")</f>
        <v>102.74733315000005</v>
      </c>
      <c r="H10" s="312">
        <f>IF(AND('основные условия'!$J$6=1,H$4&lt;('основные условия'!$E$17+1)),'результат расчета'!H24,"")</f>
        <v>109.93964647050005</v>
      </c>
      <c r="I10" s="312">
        <f>IF(AND('основные условия'!$J$6=1,I$4&lt;('основные условия'!$E$17+1)),'результат расчета'!I24,"")</f>
        <v>117.63542172343507</v>
      </c>
      <c r="J10" s="312">
        <f>IF(AND('основные условия'!$J$6=1,J$4&lt;('основные условия'!$E$17+1)),'результат расчета'!J24,"")</f>
        <v>125.86990124407554</v>
      </c>
      <c r="K10" s="312">
        <f>IF(AND('основные условия'!$J$6=1,K$4&lt;('основные условия'!$E$17+1)),'результат расчета'!K24,"")</f>
        <v>134.68079433116083</v>
      </c>
      <c r="L10" s="312">
        <f>IF(AND('основные условия'!$J$6=1,L$4&lt;('основные условия'!$E$17+1)),'результат расчета'!L24,"")</f>
        <v>144.10844993434208</v>
      </c>
      <c r="M10" s="312">
        <f>IF(AND('основные условия'!$J$6=1,M$4&lt;('основные условия'!$E$17+1)),'результат расчета'!M24,"")</f>
        <v>154.19604142974606</v>
      </c>
      <c r="N10" s="312">
        <f>IF(AND('основные условия'!$J$6=1,N$4&lt;('основные условия'!$E$17+1)),'результат расчета'!N24,"")</f>
        <v>164.98976432982826</v>
      </c>
      <c r="O10" s="312">
        <f>IF(AND('основные условия'!$J$6=1,O$4&lt;('основные условия'!$E$17+1)),'результат расчета'!O24,"")</f>
        <v>176.53904783291628</v>
      </c>
      <c r="P10" s="312">
        <f>IF(AND('основные условия'!$J$6=1,P$4&lt;('основные условия'!$E$17+1)),'результат расчета'!P24,"")</f>
        <v>188.8967811812204</v>
      </c>
      <c r="Q10" s="312">
        <f>IF(AND('основные условия'!$J$6=1,Q$4&lt;('основные условия'!$E$17+1)),'результат расчета'!Q24,"")</f>
        <v>202.11955586390587</v>
      </c>
      <c r="R10" s="313">
        <f>IF(AND('основные условия'!$J$6=1,R$4&lt;('основные условия'!$E$17+1)),'результат расчета'!R24,"")</f>
      </c>
      <c r="S10" s="313">
        <f>IF(AND('основные условия'!$J$6=1,S$4&lt;('основные условия'!$E$17+1)),'результат расчета'!S24,"")</f>
      </c>
      <c r="T10" s="313">
        <f>IF(AND('основные условия'!$J$6=1,T$4&lt;('основные условия'!$E$17+1)),'результат расчета'!T24,"")</f>
      </c>
      <c r="U10" s="313">
        <f>IF(AND('основные условия'!$J$6=1,U$4&lt;('основные условия'!$E$17+1)),'результат расчета'!U24,"")</f>
      </c>
      <c r="V10" s="313">
        <f>IF(AND('основные условия'!$J$6=1,V$4&lt;('основные условия'!$E$17+1)),'результат расчета'!V24,"")</f>
      </c>
      <c r="W10" s="313">
        <f>IF(AND('основные условия'!$J$6=1,W$4&lt;('основные условия'!$E$17+1)),'результат расчета'!W24,"")</f>
      </c>
      <c r="X10" s="313">
        <f>IF(AND('основные условия'!$J$6=1,X$4&lt;('основные условия'!$E$17+1)),'результат расчета'!X24,"")</f>
      </c>
      <c r="Y10" s="313">
        <f>IF(AND('основные условия'!$J$6=1,Y$4&lt;('основные условия'!$E$17+1)),'результат расчета'!Y24,"")</f>
      </c>
      <c r="Z10" s="313">
        <f>IF(AND('основные условия'!$J$6=1,Z$4&lt;('основные условия'!$E$17+1)),'результат расчета'!Z24,"")</f>
      </c>
      <c r="AA10" s="313">
        <f>IF(AND('основные условия'!$J$6=1,AA$4&lt;('основные условия'!$E$17+1)),'результат расчета'!AA24,"")</f>
      </c>
      <c r="AB10" s="313">
        <f>IF(AND('основные условия'!$J$6=1,AB$4&lt;('основные условия'!$E$17+1)),'результат расчета'!AB24,"")</f>
      </c>
      <c r="AC10" s="313">
        <f>IF(AND('основные условия'!$J$6=1,AC$4&lt;('основные условия'!$E$17+1)),'результат расчета'!AC24,"")</f>
      </c>
      <c r="AD10" s="313">
        <f>IF(AND('основные условия'!$J$6=1,AD$4&lt;('основные условия'!$E$17+1)),'результат расчета'!AD24,"")</f>
      </c>
      <c r="AE10" s="313">
        <f>IF(AND('основные условия'!$J$6=1,AE$4&lt;('основные условия'!$E$17+1)),'результат расчета'!AE24,"")</f>
      </c>
      <c r="AF10" s="313">
        <f>IF(AND('основные условия'!$J$6=1,AF$4&lt;('основные условия'!$E$17+1)),'результат расчета'!AF24,"")</f>
      </c>
    </row>
    <row r="11" spans="1:32" s="314" customFormat="1" ht="15">
      <c r="A11" s="310" t="s">
        <v>189</v>
      </c>
      <c r="B11" s="312">
        <f>IF(AND('основные условия'!$J$6=1,B$4&lt;('основные условия'!$E$17+1)),'результат расчета'!B25,"")</f>
        <v>0</v>
      </c>
      <c r="C11" s="312">
        <f>IF(AND('основные условия'!$J$6=1,C$4&lt;('основные условия'!$E$17+1)),'результат расчета'!C25,"")</f>
        <v>11</v>
      </c>
      <c r="D11" s="312">
        <f>IF(AND('основные условия'!$J$6=1,D$4&lt;('основные условия'!$E$17+1)),'результат расчета'!D25,"")</f>
        <v>12.154875564973919</v>
      </c>
      <c r="E11" s="312">
        <f>IF(AND('основные условия'!$J$6=1,E$4&lt;('основные условия'!$E$17+1)),'результат расчета'!E25,"")</f>
        <v>12.823249705125455</v>
      </c>
      <c r="F11" s="312">
        <f>IF(AND('основные условия'!$J$6=1,F$4&lt;('основные условия'!$E$17+1)),'результат расчета'!F25,"")</f>
        <v>13.720877184484237</v>
      </c>
      <c r="G11" s="312">
        <f>IF(AND('основные условия'!$J$6=1,G$4&lt;('основные условия'!$E$17+1)),'результат расчета'!G25,"")</f>
        <v>14.681338587398136</v>
      </c>
      <c r="H11" s="312">
        <f>IF(AND('основные условия'!$J$6=1,H$4&lt;('основные условия'!$E$17+1)),'результат расчета'!H25,"")</f>
        <v>15.709032288516005</v>
      </c>
      <c r="I11" s="312">
        <f>IF(AND('основные условия'!$J$6=1,I$4&lt;('основные условия'!$E$17+1)),'результат расчета'!I25,"")</f>
        <v>16.80866454871213</v>
      </c>
      <c r="J11" s="312">
        <f>IF(AND('основные условия'!$J$6=1,J$4&lt;('основные условия'!$E$17+1)),'результат расчета'!J25,"")</f>
        <v>17.985271067121978</v>
      </c>
      <c r="K11" s="312">
        <f>IF(AND('основные условия'!$J$6=1,K$4&lt;('основные условия'!$E$17+1)),'результат расчета'!K25,"")</f>
        <v>19.244240041820518</v>
      </c>
      <c r="L11" s="312">
        <f>IF(AND('основные условия'!$J$6=1,L$4&lt;('основные условия'!$E$17+1)),'результат расчета'!L25,"")</f>
        <v>20.591336844747957</v>
      </c>
      <c r="M11" s="312">
        <f>IF(AND('основные условия'!$J$6=1,M$4&lt;('основные условия'!$E$17+1)),'результат расчета'!M25,"")</f>
        <v>22.03273042388031</v>
      </c>
      <c r="N11" s="312">
        <f>IF(AND('основные условия'!$J$6=1,N$4&lt;('основные условия'!$E$17+1)),'результат расчета'!N25,"")</f>
        <v>23.575021553551938</v>
      </c>
      <c r="O11" s="312">
        <f>IF(AND('основные условия'!$J$6=1,O$4&lt;('основные условия'!$E$17+1)),'результат расчета'!O25,"")</f>
        <v>25.22527306230057</v>
      </c>
      <c r="P11" s="312">
        <f>IF(AND('основные условия'!$J$6=1,P$4&lt;('основные условия'!$E$17+1)),'результат расчета'!P25,"")</f>
        <v>26.99104217666161</v>
      </c>
      <c r="Q11" s="312">
        <f>IF(AND('основные условия'!$J$6=1,Q$4&lt;('основные условия'!$E$17+1)),'результат расчета'!Q25,"")</f>
        <v>28.88041512902793</v>
      </c>
      <c r="R11" s="313">
        <f>IF(AND('основные условия'!$J$6=1,R$4&lt;('основные условия'!$E$17+1)),'результат расчета'!R25,"")</f>
      </c>
      <c r="S11" s="313">
        <f>IF(AND('основные условия'!$J$6=1,S$4&lt;('основные условия'!$E$17+1)),'результат расчета'!S25,"")</f>
      </c>
      <c r="T11" s="313">
        <f>IF(AND('основные условия'!$J$6=1,T$4&lt;('основные условия'!$E$17+1)),'результат расчета'!T25,"")</f>
      </c>
      <c r="U11" s="313">
        <f>IF(AND('основные условия'!$J$6=1,U$4&lt;('основные условия'!$E$17+1)),'результат расчета'!U25,"")</f>
      </c>
      <c r="V11" s="313">
        <f>IF(AND('основные условия'!$J$6=1,V$4&lt;('основные условия'!$E$17+1)),'результат расчета'!V25,"")</f>
      </c>
      <c r="W11" s="313">
        <f>IF(AND('основные условия'!$J$6=1,W$4&lt;('основные условия'!$E$17+1)),'результат расчета'!W25,"")</f>
      </c>
      <c r="X11" s="313">
        <f>IF(AND('основные условия'!$J$6=1,X$4&lt;('основные условия'!$E$17+1)),'результат расчета'!X25,"")</f>
      </c>
      <c r="Y11" s="313">
        <f>IF(AND('основные условия'!$J$6=1,Y$4&lt;('основные условия'!$E$17+1)),'результат расчета'!Y25,"")</f>
      </c>
      <c r="Z11" s="313">
        <f>IF(AND('основные условия'!$J$6=1,Z$4&lt;('основные условия'!$E$17+1)),'результат расчета'!Z25,"")</f>
      </c>
      <c r="AA11" s="313">
        <f>IF(AND('основные условия'!$J$6=1,AA$4&lt;('основные условия'!$E$17+1)),'результат расчета'!AA25,"")</f>
      </c>
      <c r="AB11" s="313">
        <f>IF(AND('основные условия'!$J$6=1,AB$4&lt;('основные условия'!$E$17+1)),'результат расчета'!AB25,"")</f>
      </c>
      <c r="AC11" s="313">
        <f>IF(AND('основные условия'!$J$6=1,AC$4&lt;('основные условия'!$E$17+1)),'результат расчета'!AC25,"")</f>
      </c>
      <c r="AD11" s="313">
        <f>IF(AND('основные условия'!$J$6=1,AD$4&lt;('основные условия'!$E$17+1)),'результат расчета'!AD25,"")</f>
      </c>
      <c r="AE11" s="313">
        <f>IF(AND('основные условия'!$J$6=1,AE$4&lt;('основные условия'!$E$17+1)),'результат расчета'!AE25,"")</f>
      </c>
      <c r="AF11" s="313">
        <f>IF(AND('основные условия'!$J$6=1,AF$4&lt;('основные условия'!$E$17+1)),'результат расчета'!AF25,"")</f>
      </c>
    </row>
    <row r="12" spans="1:32" ht="82.5" customHeight="1">
      <c r="A12" s="29" t="s">
        <v>46</v>
      </c>
      <c r="B12" s="149">
        <f>IF(AND('основные условия'!$J$6=1,B$4&lt;('основные условия'!$E$17+1)),'результат расчета'!B26,"")</f>
        <v>0</v>
      </c>
      <c r="C12" s="149">
        <f>IF(AND('основные условия'!$J$6=1,C$4&lt;('основные условия'!$E$17+1)),'результат расчета'!C26,"")</f>
        <v>0</v>
      </c>
      <c r="D12" s="149">
        <f>IF(AND('основные условия'!$J$6=1,D$4&lt;('основные условия'!$E$17+1)),'результат расчета'!D26,"")</f>
        <v>0</v>
      </c>
      <c r="E12" s="149">
        <f>IF(AND('основные условия'!$J$6=1,E$4&lt;('основные условия'!$E$17+1)),'результат расчета'!E26,"")</f>
        <v>0</v>
      </c>
      <c r="F12" s="149">
        <f>IF(AND('основные условия'!$J$6=1,F$4&lt;('основные условия'!$E$17+1)),'результат расчета'!F26,"")</f>
        <v>0</v>
      </c>
      <c r="G12" s="149">
        <f>IF(AND('основные условия'!$J$6=1,G$4&lt;('основные условия'!$E$17+1)),'результат расчета'!G26,"")</f>
        <v>0</v>
      </c>
      <c r="H12" s="149">
        <f>IF(AND('основные условия'!$J$6=1,H$4&lt;('основные условия'!$E$17+1)),'результат расчета'!H26,"")</f>
        <v>0</v>
      </c>
      <c r="I12" s="149">
        <f>IF(AND('основные условия'!$J$6=1,I$4&lt;('основные условия'!$E$17+1)),'результат расчета'!I26,"")</f>
        <v>0</v>
      </c>
      <c r="J12" s="149">
        <f>IF(AND('основные условия'!$J$6=1,J$4&lt;('основные условия'!$E$17+1)),'результат расчета'!J26,"")</f>
        <v>0</v>
      </c>
      <c r="K12" s="149">
        <f>IF(AND('основные условия'!$J$6=1,K$4&lt;('основные условия'!$E$17+1)),'результат расчета'!K26,"")</f>
        <v>0</v>
      </c>
      <c r="L12" s="149">
        <f>IF(AND('основные условия'!$J$6=1,L$4&lt;('основные условия'!$E$17+1)),'результат расчета'!L26,"")</f>
        <v>0</v>
      </c>
      <c r="M12" s="149">
        <f>IF(AND('основные условия'!$J$6=1,M$4&lt;('основные условия'!$E$17+1)),'результат расчета'!M26,"")</f>
        <v>0</v>
      </c>
      <c r="N12" s="149">
        <f>IF(AND('основные условия'!$J$6=1,N$4&lt;('основные условия'!$E$17+1)),'результат расчета'!N26,"")</f>
        <v>0</v>
      </c>
      <c r="O12" s="149">
        <f>IF(AND('основные условия'!$J$6=1,O$4&lt;('основные условия'!$E$17+1)),'результат расчета'!O26,"")</f>
        <v>0</v>
      </c>
      <c r="P12" s="149">
        <f>IF(AND('основные условия'!$J$6=1,P$4&lt;('основные условия'!$E$17+1)),'результат расчета'!P26,"")</f>
        <v>0</v>
      </c>
      <c r="Q12" s="149">
        <f>IF(AND('основные условия'!$J$6=1,Q$4&lt;('основные условия'!$E$17+1)),'результат расчета'!Q26,"")</f>
        <v>7534.527906060636</v>
      </c>
      <c r="R12" s="115">
        <f>IF(AND('основные условия'!$J$6=1,R$4&lt;('основные условия'!$E$17+1)),'результат расчета'!R26,"")</f>
      </c>
      <c r="S12" s="115">
        <f>IF(AND('основные условия'!$J$6=1,S$4&lt;('основные условия'!$E$17+1)),'результат расчета'!S26,"")</f>
      </c>
      <c r="T12" s="115">
        <f>IF(AND('основные условия'!$J$6=1,T$4&lt;('основные условия'!$E$17+1)),'результат расчета'!T26,"")</f>
      </c>
      <c r="U12" s="115">
        <f>IF(AND('основные условия'!$J$6=1,U$4&lt;('основные условия'!$E$17+1)),'результат расчета'!U26,"")</f>
      </c>
      <c r="V12" s="115">
        <f>IF(AND('основные условия'!$J$6=1,V$4&lt;('основные условия'!$E$17+1)),'результат расчета'!V26,"")</f>
      </c>
      <c r="W12" s="115">
        <f>IF(AND('основные условия'!$J$6=1,W$4&lt;('основные условия'!$E$17+1)),'результат расчета'!W26,"")</f>
      </c>
      <c r="X12" s="115">
        <f>IF(AND('основные условия'!$J$6=1,X$4&lt;('основные условия'!$E$17+1)),'результат расчета'!X26,"")</f>
      </c>
      <c r="Y12" s="115">
        <f>IF(AND('основные условия'!$J$6=1,Y$4&lt;('основные условия'!$E$17+1)),'результат расчета'!Y26,"")</f>
      </c>
      <c r="Z12" s="115">
        <f>IF(AND('основные условия'!$J$6=1,Z$4&lt;('основные условия'!$E$17+1)),'результат расчета'!Z26,"")</f>
      </c>
      <c r="AA12" s="115">
        <f>IF(AND('основные условия'!$J$6=1,AA$4&lt;('основные условия'!$E$17+1)),'результат расчета'!AA26,"")</f>
      </c>
      <c r="AB12" s="115">
        <f>IF(AND('основные условия'!$J$6=1,AB$4&lt;('основные условия'!$E$17+1)),'результат расчета'!AB26,"")</f>
      </c>
      <c r="AC12" s="115">
        <f>IF(AND('основные условия'!$J$6=1,AC$4&lt;('основные условия'!$E$17+1)),'результат расчета'!AC26,"")</f>
      </c>
      <c r="AD12" s="115">
        <f>IF(AND('основные условия'!$J$6=1,AD$4&lt;('основные условия'!$E$17+1)),'результат расчета'!AD26,"")</f>
      </c>
      <c r="AE12" s="115">
        <f>IF(AND('основные условия'!$J$6=1,AE$4&lt;('основные условия'!$E$17+1)),'результат расчета'!AE26,"")</f>
      </c>
      <c r="AF12" s="115">
        <f>IF(AND('основные условия'!$J$6=1,AF$4&lt;('основные условия'!$E$17+1)),'результат расчета'!AF26,"")</f>
      </c>
    </row>
    <row r="13" spans="1:32" ht="30">
      <c r="A13" s="226" t="s">
        <v>47</v>
      </c>
      <c r="B13" s="149">
        <f>IF(AND('основные условия'!$J$6=1,B$4&lt;('основные условия'!$E$17+1)),'результат расчета'!B27,"")</f>
        <v>0</v>
      </c>
      <c r="C13" s="149">
        <f>IF(AND('основные условия'!$J$6=1,C$4&lt;('основные условия'!$E$17+1)),'результат расчета'!C27,"")</f>
        <v>940.0874651162792</v>
      </c>
      <c r="D13" s="149">
        <f>IF(AND('основные условия'!$J$6=1,D$4&lt;('основные условия'!$E$17+1)),'результат расчета'!D27,"")</f>
        <v>945.5117880552152</v>
      </c>
      <c r="E13" s="149">
        <f>IF(AND('основные условия'!$J$6=1,E$4&lt;('основные условия'!$E$17+1)),'результат расчета'!E27,"")</f>
        <v>928.992932244442</v>
      </c>
      <c r="F13" s="149">
        <f>IF(AND('основные условия'!$J$6=1,F$4&lt;('основные условия'!$E$17+1)),'результат расчета'!F27,"")</f>
        <v>909.9772403733978</v>
      </c>
      <c r="G13" s="149">
        <f>IF(AND('основные условия'!$J$6=1,G$4&lt;('основные условия'!$E$17+1)),'результат расчета'!G27,"")</f>
        <v>890.114173770257</v>
      </c>
      <c r="H13" s="149">
        <f>IF(AND('основные условия'!$J$6=1,H$4&lt;('основные условия'!$E$17+1)),'результат расчета'!H27,"")</f>
        <v>868.1953295446588</v>
      </c>
      <c r="I13" s="149">
        <f>IF(AND('основные условия'!$J$6=1,I$4&lt;('основные условия'!$E$17+1)),'результат расчета'!I27,"")</f>
        <v>844.7015593782445</v>
      </c>
      <c r="J13" s="149">
        <f>IF(AND('основные условия'!$J$6=1,J$4&lt;('основные условия'!$E$17+1)),'результат расчета'!J27,"")</f>
        <v>820.0575485379325</v>
      </c>
      <c r="K13" s="149">
        <f>IF(AND('основные условия'!$J$6=1,K$4&lt;('основные условия'!$E$17+1)),'результат расчета'!K27,"")</f>
        <v>795.0419061062648</v>
      </c>
      <c r="L13" s="149">
        <f>IF(AND('основные условия'!$J$6=1,L$4&lt;('основные условия'!$E$17+1)),'результат расчета'!L27,"")</f>
        <v>769.1083907258885</v>
      </c>
      <c r="M13" s="149">
        <f>IF(AND('основные условия'!$J$6=1,M$4&lt;('основные условия'!$E$17+1)),'результат расчета'!M27,"")</f>
        <v>743.8176467300011</v>
      </c>
      <c r="N13" s="149">
        <f>IF(AND('основные условия'!$J$6=1,N$4&lt;('основные условия'!$E$17+1)),'результат расчета'!N27,"")</f>
        <v>739.8454723237392</v>
      </c>
      <c r="O13" s="149">
        <f>IF(AND('основные условия'!$J$6=1,O$4&lt;('основные условия'!$E$17+1)),'результат расчета'!O27,"")</f>
        <v>753.277246869423</v>
      </c>
      <c r="P13" s="149">
        <f>IF(AND('основные условия'!$J$6=1,P$4&lt;('основные условия'!$E$17+1)),'результат расчета'!P27,"")</f>
        <v>780.8185583147288</v>
      </c>
      <c r="Q13" s="149">
        <f>IF(AND('основные условия'!$J$6=1,Q$4&lt;('основные условия'!$E$17+1)),'результат расчета'!Q27,"")</f>
        <v>2634.108191306258</v>
      </c>
      <c r="R13" s="115">
        <f>IF(AND('основные условия'!$J$6=1,R$4&lt;('основные условия'!$E$17+1)),'результат расчета'!R27,"")</f>
      </c>
      <c r="S13" s="115">
        <f>IF(AND('основные условия'!$J$6=1,S$4&lt;('основные условия'!$E$17+1)),'результат расчета'!S27,"")</f>
      </c>
      <c r="T13" s="115">
        <f>IF(AND('основные условия'!$J$6=1,T$4&lt;('основные условия'!$E$17+1)),'результат расчета'!T27,"")</f>
      </c>
      <c r="U13" s="115">
        <f>IF(AND('основные условия'!$J$6=1,U$4&lt;('основные условия'!$E$17+1)),'результат расчета'!U27,"")</f>
      </c>
      <c r="V13" s="115">
        <f>IF(AND('основные условия'!$J$6=1,V$4&lt;('основные условия'!$E$17+1)),'результат расчета'!V27,"")</f>
      </c>
      <c r="W13" s="115">
        <f>IF(AND('основные условия'!$J$6=1,W$4&lt;('основные условия'!$E$17+1)),'результат расчета'!W27,"")</f>
      </c>
      <c r="X13" s="115">
        <f>IF(AND('основные условия'!$J$6=1,X$4&lt;('основные условия'!$E$17+1)),'результат расчета'!X27,"")</f>
      </c>
      <c r="Y13" s="115">
        <f>IF(AND('основные условия'!$J$6=1,Y$4&lt;('основные условия'!$E$17+1)),'результат расчета'!Y27,"")</f>
      </c>
      <c r="Z13" s="115">
        <f>IF(AND('основные условия'!$J$6=1,Z$4&lt;('основные условия'!$E$17+1)),'результат расчета'!Z27,"")</f>
      </c>
      <c r="AA13" s="115">
        <f>IF(AND('основные условия'!$J$6=1,AA$4&lt;('основные условия'!$E$17+1)),'результат расчета'!AA27,"")</f>
      </c>
      <c r="AB13" s="115">
        <f>IF(AND('основные условия'!$J$6=1,AB$4&lt;('основные условия'!$E$17+1)),'результат расчета'!AB27,"")</f>
      </c>
      <c r="AC13" s="115">
        <f>IF(AND('основные условия'!$J$6=1,AC$4&lt;('основные условия'!$E$17+1)),'результат расчета'!AC27,"")</f>
      </c>
      <c r="AD13" s="115">
        <f>IF(AND('основные условия'!$J$6=1,AD$4&lt;('основные условия'!$E$17+1)),'результат расчета'!AD27,"")</f>
      </c>
      <c r="AE13" s="115">
        <f>IF(AND('основные условия'!$J$6=1,AE$4&lt;('основные условия'!$E$17+1)),'результат расчета'!AE27,"")</f>
      </c>
      <c r="AF13" s="115">
        <f>IF(AND('основные условия'!$J$6=1,AF$4&lt;('основные условия'!$E$17+1)),'результат расчета'!AF27,"")</f>
      </c>
    </row>
    <row r="14" spans="1:32" ht="30">
      <c r="A14" s="226" t="s">
        <v>141</v>
      </c>
      <c r="B14" s="311">
        <f ca="1">SUM(OFFSET(C13,0,0,1,'основные условия'!$E$17))</f>
        <v>14363.655449396734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</row>
    <row r="15" spans="1:32" ht="15">
      <c r="A15" s="8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ht="60">
      <c r="A16" s="101" t="s">
        <v>108</v>
      </c>
    </row>
    <row r="17" spans="1:33" ht="15">
      <c r="A17" s="329" t="s">
        <v>220</v>
      </c>
      <c r="B17" s="329"/>
      <c r="C17" s="316">
        <f>IF('основные условия'!$J$6=1,'расчет RAB'!C17,"")</f>
      </c>
      <c r="D17" s="100">
        <f>IF('основные условия'!$J$6=1,'расчет RAB'!D17,"")</f>
      </c>
      <c r="E17" s="100">
        <f>IF('основные условия'!$J$6=1,'расчет RAB'!E17,"")</f>
      </c>
      <c r="F17" s="100">
        <f>IF('основные условия'!$J$6=1,'расчет RAB'!F17,"")</f>
      </c>
      <c r="G17" s="100">
        <f>IF('основные условия'!$J$6=1,'расчет RAB'!G17,"")</f>
      </c>
      <c r="H17" s="100">
        <f>IF('основные условия'!$J$6=1,'расчет RAB'!H17,"")</f>
      </c>
      <c r="I17" s="100">
        <f>IF('основные условия'!$J$6=1,'расчет RAB'!I17,"")</f>
      </c>
      <c r="J17" s="100">
        <f>IF('основные условия'!$J$6=1,'расчет RAB'!J17,"")</f>
      </c>
      <c r="K17" s="100">
        <f>IF('основные условия'!$J$6=1,'расчет RAB'!K17,"")</f>
      </c>
      <c r="L17" s="100">
        <f>IF('основные условия'!$J$6=1,'расчет RAB'!L17,"")</f>
      </c>
      <c r="M17" s="100">
        <f>IF('основные условия'!$J$6=1,'расчет RAB'!M17,"")</f>
      </c>
      <c r="N17" s="100">
        <f>IF('основные условия'!$J$6=1,'расчет RAB'!N17,"")</f>
      </c>
      <c r="O17" s="100">
        <f>IF('основные условия'!$J$6=1,'расчет RAB'!O17,"")</f>
      </c>
      <c r="P17" s="100">
        <f>IF('основные условия'!$J$6=1,'расчет RAB'!P17,"")</f>
      </c>
      <c r="Q17" s="100">
        <f>IF('основные условия'!$J$6=1,'расчет RAB'!Q17,"")</f>
      </c>
      <c r="R17" s="100">
        <f>IF('основные условия'!$J$6=1,'расчет RAB'!R17,"")</f>
      </c>
      <c r="S17" s="100">
        <f>IF('основные условия'!$J$6=1,'расчет RAB'!S17,"")</f>
      </c>
      <c r="T17" s="100">
        <f>IF('основные условия'!$J$6=1,'расчет RAB'!T17,"")</f>
      </c>
      <c r="U17" s="100">
        <f>IF('основные условия'!$J$6=1,'расчет RAB'!U17,"")</f>
      </c>
      <c r="V17" s="100">
        <f>IF('основные условия'!$J$6=1,'расчет RAB'!V17,"")</f>
      </c>
      <c r="W17" s="100">
        <f>IF('основные условия'!$J$6=1,'расчет RAB'!W17,"")</f>
      </c>
      <c r="X17" s="100">
        <f>IF('основные условия'!$J$6=1,'расчет RAB'!X17,"")</f>
      </c>
      <c r="Y17" s="100">
        <f>IF('основные условия'!$J$6=1,'расчет RAB'!Y17,"")</f>
      </c>
      <c r="Z17" s="100">
        <f>IF('основные условия'!$J$6=1,'расчет RAB'!Z17,"")</f>
      </c>
      <c r="AA17" s="100">
        <f>IF('основные условия'!$J$6=1,'расчет RAB'!AA17,"")</f>
      </c>
      <c r="AB17" s="100">
        <f>IF('основные условия'!$J$6=1,'расчет RAB'!AB17,"")</f>
      </c>
      <c r="AC17" s="100">
        <f>IF('основные условия'!$J$6=1,'расчет RAB'!AC17,"")</f>
      </c>
      <c r="AD17" s="100">
        <f>IF('основные условия'!$J$6=1,'расчет RAB'!AD17,"")</f>
      </c>
      <c r="AE17" s="100">
        <f>IF('основные условия'!$J$6=1,'расчет RAB'!AE17,"")</f>
      </c>
      <c r="AF17" s="100">
        <f>IF('основные условия'!$J$6=1,'расчет RAB'!AF17,"")</f>
      </c>
      <c r="AG17">
        <f>IF('основные условия'!$J$6=1,'расчет RAB'!AG17,"")</f>
        <v>0</v>
      </c>
    </row>
    <row r="19" spans="1:32" ht="45">
      <c r="A19" s="83" t="s">
        <v>140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s="76" customFormat="1" ht="15">
      <c r="A20" s="93" t="s">
        <v>45</v>
      </c>
      <c r="B20" s="94">
        <f>SUM(B21:B26)</f>
        <v>500</v>
      </c>
      <c r="C20" s="94">
        <f aca="true" t="shared" si="0" ref="C20:AF20">SUM(C21:C26)</f>
        <v>940.0874651162792</v>
      </c>
      <c r="D20" s="94">
        <f t="shared" si="0"/>
        <v>1046.6815493771232</v>
      </c>
      <c r="E20" s="94">
        <f t="shared" si="0"/>
        <v>1138.4334598260193</v>
      </c>
      <c r="F20" s="94">
        <f t="shared" si="0"/>
        <v>1234.4496840568422</v>
      </c>
      <c r="G20" s="94">
        <f t="shared" si="0"/>
        <v>1336.7069315587555</v>
      </c>
      <c r="H20" s="94">
        <f t="shared" si="0"/>
        <v>1443.2964706170874</v>
      </c>
      <c r="I20" s="94">
        <f t="shared" si="0"/>
        <v>1554.4938965248293</v>
      </c>
      <c r="J20" s="94">
        <f t="shared" si="0"/>
        <v>1670.620001717754</v>
      </c>
      <c r="K20" s="94">
        <f t="shared" si="0"/>
        <v>1792.9615971399487</v>
      </c>
      <c r="L20" s="94">
        <f t="shared" si="0"/>
        <v>1920.0659115028072</v>
      </c>
      <c r="M20" s="94">
        <f t="shared" si="0"/>
        <v>2055.6192990034046</v>
      </c>
      <c r="N20" s="94">
        <f t="shared" si="0"/>
        <v>2263.4184415058753</v>
      </c>
      <c r="O20" s="94">
        <f t="shared" si="0"/>
        <v>2551.09305285193</v>
      </c>
      <c r="P20" s="94">
        <f t="shared" si="0"/>
        <v>2927.313249380334</v>
      </c>
      <c r="Q20" s="94">
        <f t="shared" si="0"/>
        <v>10932.017070223948</v>
      </c>
      <c r="R20" s="94">
        <f t="shared" si="0"/>
        <v>3971.497356726206</v>
      </c>
      <c r="S20" s="94">
        <f t="shared" si="0"/>
        <v>4658.75331712983</v>
      </c>
      <c r="T20" s="94">
        <f t="shared" si="0"/>
        <v>5469.466383169259</v>
      </c>
      <c r="U20" s="94">
        <f t="shared" si="0"/>
        <v>6378.711415537112</v>
      </c>
      <c r="V20" s="94">
        <f t="shared" si="0"/>
        <v>7467.995794458406</v>
      </c>
      <c r="W20" s="94">
        <f t="shared" si="0"/>
        <v>8707.156498279488</v>
      </c>
      <c r="X20" s="94">
        <f t="shared" si="0"/>
        <v>10120.907088092876</v>
      </c>
      <c r="Y20" s="94">
        <f t="shared" si="0"/>
        <v>11725.644493802169</v>
      </c>
      <c r="Z20" s="94">
        <f t="shared" si="0"/>
        <v>13539.455602563195</v>
      </c>
      <c r="AA20" s="94">
        <f t="shared" si="0"/>
        <v>15580.946145827793</v>
      </c>
      <c r="AB20" s="94">
        <f t="shared" si="0"/>
        <v>17870.59417135992</v>
      </c>
      <c r="AC20" s="94">
        <f t="shared" si="0"/>
        <v>20430.632325964183</v>
      </c>
      <c r="AD20" s="94">
        <f t="shared" si="0"/>
        <v>23285.189910405697</v>
      </c>
      <c r="AE20" s="94">
        <f t="shared" si="0"/>
        <v>26460.449435604034</v>
      </c>
      <c r="AF20" s="94">
        <f t="shared" si="0"/>
        <v>29984.815839286508</v>
      </c>
    </row>
    <row r="21" spans="1:32" s="76" customFormat="1" ht="45">
      <c r="A21" s="95" t="s">
        <v>139</v>
      </c>
      <c r="B21" s="116">
        <f>IF('основные условия'!$J$13=1,'расчет RAB'!B90,'расчет индексация'!B78)</f>
        <v>500</v>
      </c>
      <c r="C21" s="116">
        <f>IF('основные условия'!$J$13=1,'расчет RAB'!C90,'расчет индексация'!C78)</f>
        <v>840.2954651162792</v>
      </c>
      <c r="D21" s="116">
        <f>IF('основные условия'!$J$13=1,'расчет RAB'!D90,'расчет индексация'!D78)</f>
        <v>936.1646738121492</v>
      </c>
      <c r="E21" s="116">
        <f>IF('основные условия'!$J$13=1,'расчет RAB'!E90,'расчет индексация'!E78)</f>
        <v>1022.2703101208939</v>
      </c>
      <c r="F21" s="116">
        <f>IF('основные условия'!$J$13=1,'расчет RAB'!F90,'расчет индексация'!F78)</f>
        <v>1110.216241872358</v>
      </c>
      <c r="G21" s="116">
        <f>IF('основные условия'!$J$13=1,'расчет RAB'!G90,'расчет индексация'!G78)</f>
        <v>1203.8305724213571</v>
      </c>
      <c r="H21" s="116">
        <f>IF('основные условия'!$J$13=1,'расчет RAB'!H90,'расчет индексация'!H78)</f>
        <v>1301.1721903400712</v>
      </c>
      <c r="I21" s="116">
        <f>IF('основные условия'!$J$13=1,'расчет RAB'!I90,'расчет индексация'!I78)</f>
        <v>1402.4743406284222</v>
      </c>
      <c r="J21" s="116">
        <f>IF('основные условия'!$J$13=1,'расчет RAB'!J90,'расчет индексация'!J78)</f>
        <v>1508.012500908598</v>
      </c>
      <c r="K21" s="116">
        <f>IF('основные условия'!$J$13=1,'расчет RAB'!K90,'расчет индексация'!K78)</f>
        <v>1619.024995274152</v>
      </c>
      <c r="L21" s="116">
        <f>IF('основные условия'!$J$13=1,'расчет RAB'!L90,'расчет индексация'!L78)</f>
        <v>1734.0071715064046</v>
      </c>
      <c r="M21" s="116">
        <f>IF('основные условия'!$J$13=1,'расчет RAB'!M90,'расчет индексация'!M78)</f>
        <v>1856.589871207254</v>
      </c>
      <c r="N21" s="116">
        <f>IF('основные условия'!$J$13=1,'расчет RAB'!N90,'расчет индексация'!N78)</f>
        <v>2050.5103777639947</v>
      </c>
      <c r="O21" s="116">
        <f>IF('основные условия'!$J$13=1,'расчет RAB'!O90,'расчет индексация'!O78)</f>
        <v>2323.3348486481177</v>
      </c>
      <c r="P21" s="116">
        <f>IF('основные условия'!$J$13=1,'расчет RAB'!P90,'расчет индексация'!P78)</f>
        <v>2683.6653948822545</v>
      </c>
      <c r="Q21" s="116">
        <f>IF('основные условия'!$J$13=1,'расчет RAB'!Q90,'расчет индексация'!Q78)</f>
        <v>3136.8393838503675</v>
      </c>
      <c r="R21" s="116">
        <f>IF('основные условия'!$J$13=1,'расчет RAB'!R90,'расчет индексация'!R78)</f>
        <v>3692.6555157913544</v>
      </c>
      <c r="S21" s="116">
        <f>IF('основные условия'!$J$13=1,'расчет RAB'!S90,'расчет индексация'!S78)</f>
        <v>4360.445971329539</v>
      </c>
      <c r="T21" s="116">
        <f>IF('основные условия'!$J$13=1,'расчет RAB'!T90,'расчет индексация'!T78)</f>
        <v>5150.330947162946</v>
      </c>
      <c r="U21" s="116">
        <f>IF('основные условия'!$J$13=1,'расчет RAB'!U90,'расчет индексация'!U78)</f>
        <v>6037.2899230103585</v>
      </c>
      <c r="V21" s="116">
        <f>IF('основные условия'!$J$13=1,'расчет RAB'!V90,'расчет индексация'!V78)</f>
        <v>7102.728221454779</v>
      </c>
      <c r="W21" s="116">
        <f>IF('основные условия'!$J$13=1,'расчет RAB'!W90,'расчет индексация'!W78)</f>
        <v>8316.373619165608</v>
      </c>
      <c r="X21" s="116">
        <f>IF('основные условия'!$J$13=1,'расчет RAB'!X90,'расчет индексация'!X78)</f>
        <v>9702.822831441026</v>
      </c>
      <c r="Y21" s="116">
        <f>IF('основные условия'!$J$13=1,'расчет RAB'!Y90,'расчет индексация'!Y78)</f>
        <v>11278.347763184689</v>
      </c>
      <c r="Z21" s="116">
        <f>IF('основные условия'!$J$13=1,'расчет RAB'!Z90,'расчет индексация'!Z78)</f>
        <v>13060.901524802492</v>
      </c>
      <c r="AA21" s="116">
        <f>IF('основные условия'!$J$13=1,'расчет RAB'!AA90,'расчет индексация'!AA78)</f>
        <v>15068.94670662384</v>
      </c>
      <c r="AB21" s="116">
        <f>IF('основные условия'!$J$13=1,'расчет RAB'!AB90,'расчет индексация'!AB78)</f>
        <v>17322.808195411686</v>
      </c>
      <c r="AC21" s="116">
        <f>IF('основные условия'!$J$13=1,'расчет RAB'!AC90,'расчет индексация'!AC78)</f>
        <v>19844.554755699573</v>
      </c>
      <c r="AD21" s="116">
        <f>IF('основные условия'!$J$13=1,'расчет RAB'!AD90,'расчет индексация'!AD78)</f>
        <v>22658.140334222568</v>
      </c>
      <c r="AE21" s="116">
        <f>IF('основные условия'!$J$13=1,'расчет RAB'!AE90,'расчет индексация'!AE78)</f>
        <v>25789.559813088083</v>
      </c>
      <c r="AF21" s="116">
        <f>IF('основные условия'!$J$13=1,'расчет RAB'!AF90,'расчет индексация'!AF78)</f>
        <v>29267.017367194443</v>
      </c>
    </row>
    <row r="22" spans="1:32" s="76" customFormat="1" ht="30">
      <c r="A22" s="95" t="s">
        <v>138</v>
      </c>
      <c r="B22" s="96">
        <f>IF('основные условия'!$J$13=1,'расчет RAB'!B96,'расчет индексация'!B84)</f>
        <v>0</v>
      </c>
      <c r="C22" s="116">
        <f>IF('основные условия'!$J$13=1,'расчет RAB'!C96,'расчет индексация'!C84)</f>
        <v>0.792</v>
      </c>
      <c r="D22" s="96">
        <f>IF('основные условия'!$J$13=1,'расчет RAB'!D96,'расчет индексация'!D84)</f>
        <v>0.792</v>
      </c>
      <c r="E22" s="96">
        <f>IF('основные условия'!$J$13=1,'расчет RAB'!E96,'расчет индексация'!E84)</f>
        <v>0.7704000000000001</v>
      </c>
      <c r="F22" s="96">
        <f>IF('основные условия'!$J$13=1,'расчет RAB'!F96,'расчет индексация'!F84)</f>
        <v>0.7632000000000001</v>
      </c>
      <c r="G22" s="96">
        <f>IF('основные условия'!$J$13=1,'расчет RAB'!G96,'расчет индексация'!G84)</f>
        <v>0.7632000000000001</v>
      </c>
      <c r="H22" s="96">
        <f>IF('основные условия'!$J$13=1,'расчет RAB'!H96,'расчет индексация'!H84)</f>
        <v>0.7632000000000001</v>
      </c>
      <c r="I22" s="96">
        <f>IF('основные условия'!$J$13=1,'расчет RAB'!I96,'расчет индексация'!I84)</f>
        <v>0.7632000000000001</v>
      </c>
      <c r="J22" s="96">
        <f>IF('основные условия'!$J$13=1,'расчет RAB'!J96,'расчет индексация'!J84)</f>
        <v>0.7632000000000001</v>
      </c>
      <c r="K22" s="96">
        <f>IF('основные условия'!$J$13=1,'расчет RAB'!K96,'расчет индексация'!K84)</f>
        <v>0.7632000000000001</v>
      </c>
      <c r="L22" s="96">
        <f>IF('основные условия'!$J$13=1,'расчет RAB'!L96,'расчет индексация'!L84)</f>
        <v>0.7632000000000001</v>
      </c>
      <c r="M22" s="96">
        <f>IF('основные условия'!$J$13=1,'расчет RAB'!M96,'расчет индексация'!M84)</f>
        <v>0.7632000000000001</v>
      </c>
      <c r="N22" s="96">
        <f>IF('основные условия'!$J$13=1,'расчет RAB'!N96,'расчет индексация'!N84)</f>
        <v>0.7632000000000001</v>
      </c>
      <c r="O22" s="96">
        <f>IF('основные условия'!$J$13=1,'расчет RAB'!O96,'расчет индексация'!O84)</f>
        <v>0.7632000000000001</v>
      </c>
      <c r="P22" s="96">
        <f>IF('основные условия'!$J$13=1,'расчет RAB'!P96,'расчет индексация'!P84)</f>
        <v>0.7632000000000001</v>
      </c>
      <c r="Q22" s="96">
        <f>IF('основные условия'!$J$13=1,'расчет RAB'!Q96,'расчет индексация'!Q84)</f>
        <v>0.7632000000000001</v>
      </c>
      <c r="R22" s="96">
        <f>IF('основные условия'!$J$13=1,'расчет RAB'!R96,'расчет индексация'!R84)</f>
        <v>0.7632000000000001</v>
      </c>
      <c r="S22" s="96">
        <f>IF('основные условия'!$J$13=1,'расчет RAB'!S96,'расчет индексация'!S84)</f>
        <v>0.7632000000000001</v>
      </c>
      <c r="T22" s="96">
        <f>IF('основные условия'!$J$13=1,'расчет RAB'!T96,'расчет индексация'!T84)</f>
        <v>0.7632000000000001</v>
      </c>
      <c r="U22" s="96">
        <f>IF('основные условия'!$J$13=1,'расчет RAB'!U96,'расчет индексация'!U84)</f>
        <v>0.7632000000000001</v>
      </c>
      <c r="V22" s="96">
        <f>IF('основные условия'!$J$13=1,'расчет RAB'!V96,'расчет индексация'!V84)</f>
        <v>0.7632000000000001</v>
      </c>
      <c r="W22" s="96">
        <f>IF('основные условия'!$J$13=1,'расчет RAB'!W96,'расчет индексация'!W84)</f>
        <v>0.7632000000000001</v>
      </c>
      <c r="X22" s="96">
        <f>IF('основные условия'!$J$13=1,'расчет RAB'!X96,'расчет индексация'!X84)</f>
        <v>0.7632000000000001</v>
      </c>
      <c r="Y22" s="96">
        <f>IF('основные условия'!$J$13=1,'расчет RAB'!Y96,'расчет индексация'!Y84)</f>
        <v>0.7632000000000001</v>
      </c>
      <c r="Z22" s="96">
        <f>IF('основные условия'!$J$13=1,'расчет RAB'!Z96,'расчет индексация'!Z84)</f>
        <v>0.7632000000000001</v>
      </c>
      <c r="AA22" s="96">
        <f>IF('основные условия'!$J$13=1,'расчет RAB'!AA96,'расчет индексация'!AA84)</f>
        <v>0.7632000000000001</v>
      </c>
      <c r="AB22" s="96">
        <f>IF('основные условия'!$J$13=1,'расчет RAB'!AB96,'расчет индексация'!AB84)</f>
        <v>0.7632000000000001</v>
      </c>
      <c r="AC22" s="96">
        <f>IF('основные условия'!$J$13=1,'расчет RAB'!AC96,'расчет индексация'!AC84)</f>
        <v>0.7632000000000001</v>
      </c>
      <c r="AD22" s="96">
        <f>IF('основные условия'!$J$13=1,'расчет RAB'!AD96,'расчет индексация'!AD84)</f>
        <v>0.7632000000000001</v>
      </c>
      <c r="AE22" s="96">
        <f>IF('основные условия'!$J$13=1,'расчет RAB'!AE96,'расчет индексация'!AE84)</f>
        <v>0.7632000000000001</v>
      </c>
      <c r="AF22" s="96">
        <f>IF('основные условия'!$J$13=1,'расчет RAB'!AF96,'расчет индексация'!AF84)</f>
        <v>0.7632000000000001</v>
      </c>
    </row>
    <row r="23" spans="1:32" s="76" customFormat="1" ht="76.5" customHeight="1">
      <c r="A23" s="286" t="s">
        <v>187</v>
      </c>
      <c r="B23" s="96">
        <f>IF('основные условия'!$J$13=1,'расчет RAB'!B102,'расчет индексация'!B90)</f>
        <v>0</v>
      </c>
      <c r="C23" s="96">
        <f>IF('основные условия'!$J$13=1,'расчет RAB'!C102,'расчет индексация'!C90)</f>
        <v>11</v>
      </c>
      <c r="D23" s="96">
        <f>IF('основные условия'!$J$13=1,'расчет RAB'!D102,'расчет индексация'!D90)</f>
        <v>12.100000000000001</v>
      </c>
      <c r="E23" s="96">
        <f>IF('основные условия'!$J$13=1,'расчет RAB'!E102,'расчет индексация'!E90)</f>
        <v>12.826000000000002</v>
      </c>
      <c r="F23" s="96">
        <f>IF('основные условия'!$J$13=1,'расчет RAB'!F102,'расчет индексация'!F90)</f>
        <v>13.723820000000002</v>
      </c>
      <c r="G23" s="96">
        <f>IF('основные условия'!$J$13=1,'расчет RAB'!G102,'расчет индексация'!G90)</f>
        <v>14.684487400000004</v>
      </c>
      <c r="H23" s="96">
        <f>IF('основные условия'!$J$13=1,'расчет RAB'!H102,'расчет индексация'!H90)</f>
        <v>15.712401518000005</v>
      </c>
      <c r="I23" s="96">
        <f>IF('основные условия'!$J$13=1,'расчет RAB'!I102,'расчет индексация'!I90)</f>
        <v>16.812269624260008</v>
      </c>
      <c r="J23" s="96">
        <f>IF('основные условия'!$J$13=1,'расчет RAB'!J102,'расчет индексация'!J90)</f>
        <v>17.98912849795821</v>
      </c>
      <c r="K23" s="96">
        <f>IF('основные условия'!$J$13=1,'расчет RAB'!K102,'расчет индексация'!K90)</f>
        <v>19.248367492815284</v>
      </c>
      <c r="L23" s="96">
        <f>IF('основные условия'!$J$13=1,'расчет RAB'!L102,'расчет индексация'!L90)</f>
        <v>20.595753217312357</v>
      </c>
      <c r="M23" s="96">
        <f>IF('основные условия'!$J$13=1,'расчет RAB'!M102,'расчет индексация'!M90)</f>
        <v>22.03745594252422</v>
      </c>
      <c r="N23" s="96">
        <f>IF('основные условия'!$J$13=1,'расчет RAB'!N102,'расчет индексация'!N90)</f>
        <v>23.580077858500918</v>
      </c>
      <c r="O23" s="96">
        <f>IF('основные условия'!$J$13=1,'расчет RAB'!O102,'расчет индексация'!O90)</f>
        <v>25.23068330859598</v>
      </c>
      <c r="P23" s="96">
        <f>IF('основные условия'!$J$13=1,'расчет RAB'!P102,'расчет индексация'!P90)</f>
        <v>26.996831140197703</v>
      </c>
      <c r="Q23" s="96">
        <f>IF('основные условия'!$J$13=1,'расчет RAB'!Q102,'расчет индексация'!Q90)</f>
        <v>28.886609320011544</v>
      </c>
      <c r="R23" s="96">
        <f>IF('основные условия'!$J$13=1,'расчет RAB'!R102,'расчет индексация'!R90)</f>
        <v>30.90867197241235</v>
      </c>
      <c r="S23" s="96">
        <f>IF('основные условия'!$J$13=1,'расчет RAB'!S102,'расчет индексация'!S90)</f>
        <v>33.07227901048122</v>
      </c>
      <c r="T23" s="96">
        <f>IF('основные условия'!$J$13=1,'расчет RAB'!T102,'расчет индексация'!T90)</f>
        <v>35.3873385412149</v>
      </c>
      <c r="U23" s="96">
        <f>IF('основные условия'!$J$13=1,'расчет RAB'!U102,'расчет индексация'!U90)</f>
        <v>37.86445223909995</v>
      </c>
      <c r="V23" s="96">
        <f>IF('основные условия'!$J$13=1,'расчет RAB'!V102,'расчет индексация'!V90)</f>
        <v>40.51496389583694</v>
      </c>
      <c r="W23" s="96">
        <f>IF('основные условия'!$J$13=1,'расчет RAB'!W102,'расчет индексация'!W90)</f>
        <v>43.351011368545535</v>
      </c>
      <c r="X23" s="96">
        <f>IF('основные условия'!$J$13=1,'расчет RAB'!X102,'расчет индексация'!X90)</f>
        <v>46.385582164343724</v>
      </c>
      <c r="Y23" s="96">
        <f>IF('основные условия'!$J$13=1,'расчет RAB'!Y102,'расчет индексация'!Y90)</f>
        <v>49.63257291584779</v>
      </c>
      <c r="Z23" s="96">
        <f>IF('основные условия'!$J$13=1,'расчет RAB'!Z102,'расчет индексация'!Z90)</f>
        <v>53.10685301995714</v>
      </c>
      <c r="AA23" s="96">
        <f>IF('основные условия'!$J$13=1,'расчет RAB'!AA102,'расчет индексация'!AA90)</f>
        <v>56.82433273135415</v>
      </c>
      <c r="AB23" s="96">
        <f>IF('основные условия'!$J$13=1,'расчет RAB'!AB102,'расчет индексация'!AB90)</f>
        <v>60.80203602254894</v>
      </c>
      <c r="AC23" s="96">
        <f>IF('основные условия'!$J$13=1,'расчет RAB'!AC102,'расчет индексация'!AC90)</f>
        <v>65.05817854412737</v>
      </c>
      <c r="AD23" s="96">
        <f>IF('основные условия'!$J$13=1,'расчет RAB'!AD102,'расчет индексация'!AD90)</f>
        <v>69.61225104221629</v>
      </c>
      <c r="AE23" s="96">
        <f>IF('основные условия'!$J$13=1,'расчет RAB'!AE102,'расчет индексация'!AE90)</f>
        <v>74.48510861517143</v>
      </c>
      <c r="AF23" s="96">
        <f>IF('основные условия'!$J$13=1,'расчет RAB'!AF102,'расчет индексация'!AF90)</f>
        <v>79.69906621823343</v>
      </c>
    </row>
    <row r="24" spans="1:32" s="76" customFormat="1" ht="60">
      <c r="A24" s="287" t="s">
        <v>188</v>
      </c>
      <c r="B24" s="96">
        <f>IF('основные условия'!$J$13=1,'расчет RAB'!B103,'расчет индексация'!B91)</f>
        <v>0</v>
      </c>
      <c r="C24" s="96">
        <f>IF('основные условия'!$J$13=1,'расчет RAB'!C103,'расчет индексация'!C91)</f>
        <v>77</v>
      </c>
      <c r="D24" s="96">
        <f>IF('основные условия'!$J$13=1,'расчет RAB'!D103,'расчет индексация'!D91)</f>
        <v>85.47000000000003</v>
      </c>
      <c r="E24" s="96">
        <f>IF('основные условия'!$J$13=1,'расчет RAB'!E103,'расчет индексация'!E91)</f>
        <v>89.74350000000003</v>
      </c>
      <c r="F24" s="96">
        <f>IF('основные условия'!$J$13=1,'расчет RAB'!F103,'расчет индексация'!F91)</f>
        <v>96.02554500000004</v>
      </c>
      <c r="G24" s="96">
        <f>IF('основные условия'!$J$13=1,'расчет RAB'!G103,'расчет индексация'!G91)</f>
        <v>102.74733315000005</v>
      </c>
      <c r="H24" s="96">
        <f>IF('основные условия'!$J$13=1,'расчет RAB'!H103,'расчет индексация'!H91)</f>
        <v>109.93964647050005</v>
      </c>
      <c r="I24" s="96">
        <f>IF('основные условия'!$J$13=1,'расчет RAB'!I103,'расчет индексация'!I91)</f>
        <v>117.63542172343507</v>
      </c>
      <c r="J24" s="96">
        <f>IF('основные условия'!$J$13=1,'расчет RAB'!J103,'расчет индексация'!J91)</f>
        <v>125.86990124407554</v>
      </c>
      <c r="K24" s="96">
        <f>IF('основные условия'!$J$13=1,'расчет RAB'!K103,'расчет индексация'!K91)</f>
        <v>134.68079433116083</v>
      </c>
      <c r="L24" s="96">
        <f>IF('основные условия'!$J$13=1,'расчет RAB'!L103,'расчет индексация'!L91)</f>
        <v>144.10844993434208</v>
      </c>
      <c r="M24" s="96">
        <f>IF('основные условия'!$J$13=1,'расчет RAB'!M103,'расчет индексация'!M91)</f>
        <v>154.19604142974606</v>
      </c>
      <c r="N24" s="96">
        <f>IF('основные условия'!$J$13=1,'расчет RAB'!N103,'расчет индексация'!N91)</f>
        <v>164.98976432982826</v>
      </c>
      <c r="O24" s="96">
        <f>IF('основные условия'!$J$13=1,'расчет RAB'!O103,'расчет индексация'!O91)</f>
        <v>176.53904783291628</v>
      </c>
      <c r="P24" s="96">
        <f>IF('основные условия'!$J$13=1,'расчет RAB'!P103,'расчет индексация'!P91)</f>
        <v>188.8967811812204</v>
      </c>
      <c r="Q24" s="96">
        <f>IF('основные условия'!$J$13=1,'расчет RAB'!Q103,'расчет индексация'!Q91)</f>
        <v>202.11955586390587</v>
      </c>
      <c r="R24" s="96">
        <f>IF('основные условия'!$J$13=1,'расчет RAB'!R103,'расчет индексация'!R91)</f>
        <v>216.2679247743793</v>
      </c>
      <c r="S24" s="96">
        <f>IF('основные условия'!$J$13=1,'расчет RAB'!S103,'расчет индексация'!S91)</f>
        <v>231.40667950858585</v>
      </c>
      <c r="T24" s="96">
        <f>IF('основные условия'!$J$13=1,'расчет RAB'!T103,'расчет индексация'!T91)</f>
        <v>247.6051470741869</v>
      </c>
      <c r="U24" s="96">
        <f>IF('основные условия'!$J$13=1,'расчет RAB'!U103,'расчет индексация'!U91)</f>
        <v>264.93750736938</v>
      </c>
      <c r="V24" s="96">
        <f>IF('основные условия'!$J$13=1,'расчет RAB'!V103,'расчет индексация'!V91)</f>
        <v>283.4831328852366</v>
      </c>
      <c r="W24" s="96">
        <f>IF('основные условия'!$J$13=1,'расчет RAB'!W103,'расчет индексация'!W91)</f>
        <v>303.3269521872032</v>
      </c>
      <c r="X24" s="96">
        <f>IF('основные условия'!$J$13=1,'расчет RAB'!X103,'расчет индексация'!X91)</f>
        <v>324.55983884030735</v>
      </c>
      <c r="Y24" s="96">
        <f>IF('основные условия'!$J$13=1,'расчет RAB'!Y103,'расчет индексация'!Y91)</f>
        <v>347.27902755912885</v>
      </c>
      <c r="Z24" s="96">
        <f>IF('основные условия'!$J$13=1,'расчет RAB'!Z103,'расчет индексация'!Z91)</f>
        <v>371.58855948826795</v>
      </c>
      <c r="AA24" s="96">
        <f>IF('основные условия'!$J$13=1,'расчет RAB'!AA103,'расчет индексация'!AA91)</f>
        <v>397.5997586524467</v>
      </c>
      <c r="AB24" s="96">
        <f>IF('основные условия'!$J$13=1,'расчет RAB'!AB103,'расчет индексация'!AB91)</f>
        <v>425.431741758118</v>
      </c>
      <c r="AC24" s="96">
        <f>IF('основные условия'!$J$13=1,'расчет RAB'!AC103,'расчет индексация'!AC91)</f>
        <v>455.2119636811863</v>
      </c>
      <c r="AD24" s="96">
        <f>IF('основные условия'!$J$13=1,'расчет RAB'!AD103,'расчет индексация'!AD91)</f>
        <v>487.07680113886937</v>
      </c>
      <c r="AE24" s="96">
        <f>IF('основные условия'!$J$13=1,'расчет RAB'!AE103,'расчет индексация'!AE91)</f>
        <v>521.1721772185903</v>
      </c>
      <c r="AF24" s="96">
        <f>IF('основные условия'!$J$13=1,'расчет RAB'!AF103,'расчет индексация'!AF91)</f>
        <v>557.6542296238916</v>
      </c>
    </row>
    <row r="25" spans="1:32" s="76" customFormat="1" ht="15">
      <c r="A25" s="287" t="s">
        <v>189</v>
      </c>
      <c r="B25" s="96">
        <f>IF('основные условия'!$J$13=1,'расчет RAB'!B104,'расчет индексация'!B92)</f>
        <v>0</v>
      </c>
      <c r="C25" s="96">
        <f>IF('основные условия'!$J$13=1,'расчет RAB'!C104,'расчет индексация'!C92)</f>
        <v>11</v>
      </c>
      <c r="D25" s="96">
        <f>IF('основные условия'!$J$13=1,'расчет RAB'!D104,'расчет индексация'!D92)</f>
        <v>12.154875564973919</v>
      </c>
      <c r="E25" s="96">
        <f>IF('основные условия'!$J$13=1,'расчет RAB'!E104,'расчет индексация'!E92)</f>
        <v>12.823249705125455</v>
      </c>
      <c r="F25" s="96">
        <f>IF('основные условия'!$J$13=1,'расчет RAB'!F104,'расчет индексация'!F92)</f>
        <v>13.720877184484237</v>
      </c>
      <c r="G25" s="96">
        <f>IF('основные условия'!$J$13=1,'расчет RAB'!G104,'расчет индексация'!G92)</f>
        <v>14.681338587398136</v>
      </c>
      <c r="H25" s="96">
        <f>IF('основные условия'!$J$13=1,'расчет RAB'!H104,'расчет индексация'!H92)</f>
        <v>15.709032288516005</v>
      </c>
      <c r="I25" s="96">
        <f>IF('основные условия'!$J$13=1,'расчет RAB'!I104,'расчет индексация'!I92)</f>
        <v>16.80866454871213</v>
      </c>
      <c r="J25" s="96">
        <f>IF('основные условия'!$J$13=1,'расчет RAB'!J104,'расчет индексация'!J92)</f>
        <v>17.985271067121978</v>
      </c>
      <c r="K25" s="96">
        <f>IF('основные условия'!$J$13=1,'расчет RAB'!K104,'расчет индексация'!K92)</f>
        <v>19.244240041820518</v>
      </c>
      <c r="L25" s="96">
        <f>IF('основные условия'!$J$13=1,'расчет RAB'!L104,'расчет индексация'!L92)</f>
        <v>20.591336844747957</v>
      </c>
      <c r="M25" s="96">
        <f>IF('основные условия'!$J$13=1,'расчет RAB'!M104,'расчет индексация'!M92)</f>
        <v>22.03273042388031</v>
      </c>
      <c r="N25" s="96">
        <f>IF('основные условия'!$J$13=1,'расчет RAB'!N104,'расчет индексация'!N92)</f>
        <v>23.575021553551938</v>
      </c>
      <c r="O25" s="96">
        <f>IF('основные условия'!$J$13=1,'расчет RAB'!O104,'расчет индексация'!O92)</f>
        <v>25.22527306230057</v>
      </c>
      <c r="P25" s="96">
        <f>IF('основные условия'!$J$13=1,'расчет RAB'!P104,'расчет индексация'!P92)</f>
        <v>26.99104217666161</v>
      </c>
      <c r="Q25" s="96">
        <f>IF('основные условия'!$J$13=1,'расчет RAB'!Q104,'расчет индексация'!Q92)</f>
        <v>28.88041512902793</v>
      </c>
      <c r="R25" s="96">
        <f>IF('основные условия'!$J$13=1,'расчет RAB'!R104,'расчет индексация'!R92)</f>
        <v>30.902044188059886</v>
      </c>
      <c r="S25" s="96">
        <f>IF('основные условия'!$J$13=1,'расчет RAB'!S104,'расчет индексация'!S92)</f>
        <v>33.06518728122408</v>
      </c>
      <c r="T25" s="96">
        <f>IF('основные условия'!$J$13=1,'расчет RAB'!T104,'расчет индексация'!T92)</f>
        <v>35.37975039090976</v>
      </c>
      <c r="U25" s="96">
        <f>IF('основные условия'!$J$13=1,'расчет RAB'!U104,'расчет индексация'!U92)</f>
        <v>37.85633291827345</v>
      </c>
      <c r="V25" s="96">
        <f>IF('основные условия'!$J$13=1,'расчет RAB'!V104,'расчет индексация'!V92)</f>
        <v>40.50627622255259</v>
      </c>
      <c r="W25" s="96">
        <f>IF('основные условия'!$J$13=1,'расчет RAB'!W104,'расчет индексация'!W92)</f>
        <v>43.34171555813128</v>
      </c>
      <c r="X25" s="96">
        <f>IF('основные условия'!$J$13=1,'расчет RAB'!X104,'расчет индексация'!X92)</f>
        <v>46.37563564720047</v>
      </c>
      <c r="Y25" s="96">
        <f>IF('основные условия'!$J$13=1,'расчет RAB'!Y104,'расчет индексация'!Y92)</f>
        <v>49.621930142504496</v>
      </c>
      <c r="Z25" s="96">
        <f>IF('основные условия'!$J$13=1,'расчет RAB'!Z104,'расчет индексация'!Z92)</f>
        <v>53.09546525247982</v>
      </c>
      <c r="AA25" s="96">
        <f>IF('основные условия'!$J$13=1,'расчет RAB'!AA104,'расчет индексация'!AA92)</f>
        <v>56.81214782015341</v>
      </c>
      <c r="AB25" s="96">
        <f>IF('основные условия'!$J$13=1,'расчет RAB'!AB104,'расчет индексация'!AB92)</f>
        <v>60.78899816756416</v>
      </c>
      <c r="AC25" s="96">
        <f>IF('основные условия'!$J$13=1,'расчет RAB'!AC104,'расчет индексация'!AC92)</f>
        <v>65.04422803929364</v>
      </c>
      <c r="AD25" s="96">
        <f>IF('основные условия'!$J$13=1,'расчет RAB'!AD104,'расчет индексация'!AD92)</f>
        <v>69.59732400204422</v>
      </c>
      <c r="AE25" s="96">
        <f>IF('основные условия'!$J$13=1,'расчет RAB'!AE104,'расчет индексация'!AE92)</f>
        <v>74.4691366821873</v>
      </c>
      <c r="AF25" s="96">
        <f>IF('основные условия'!$J$13=1,'расчет RAB'!AF104,'расчет индексация'!AF92)</f>
        <v>79.68197624994042</v>
      </c>
    </row>
    <row r="26" spans="1:32" s="76" customFormat="1" ht="82.5" customHeight="1">
      <c r="A26" s="95" t="s">
        <v>46</v>
      </c>
      <c r="B26" s="96">
        <f>IF('основные условия'!$J$13=1,'расчет RAB'!B105,"")</f>
        <v>0</v>
      </c>
      <c r="C26" s="96">
        <f>IF('основные условия'!$J$13=1,'расчет RAB'!C105,"")</f>
        <v>0</v>
      </c>
      <c r="D26" s="96">
        <f>IF('основные условия'!$J$13=1,'расчет RAB'!D105,"")</f>
        <v>0</v>
      </c>
      <c r="E26" s="96">
        <f>IF('основные условия'!$J$13=1,'расчет RAB'!E105,"")</f>
        <v>0</v>
      </c>
      <c r="F26" s="96">
        <f>IF('основные условия'!$J$13=1,'расчет RAB'!F105,"")</f>
        <v>0</v>
      </c>
      <c r="G26" s="96">
        <f>IF('основные условия'!$J$13=1,'расчет RAB'!G105,"")</f>
        <v>0</v>
      </c>
      <c r="H26" s="96">
        <f>IF('основные условия'!$J$13=1,'расчет RAB'!H105,"")</f>
        <v>0</v>
      </c>
      <c r="I26" s="96">
        <f>IF('основные условия'!$J$13=1,'расчет RAB'!I105,"")</f>
        <v>0</v>
      </c>
      <c r="J26" s="96">
        <f>IF('основные условия'!$J$13=1,'расчет RAB'!J105,"")</f>
        <v>0</v>
      </c>
      <c r="K26" s="96">
        <f>IF('основные условия'!$J$13=1,'расчет RAB'!K105,"")</f>
        <v>0</v>
      </c>
      <c r="L26" s="96">
        <f>IF('основные условия'!$J$13=1,'расчет RAB'!L105,"")</f>
        <v>0</v>
      </c>
      <c r="M26" s="96">
        <f>IF('основные условия'!$J$13=1,'расчет RAB'!M105,"")</f>
        <v>0</v>
      </c>
      <c r="N26" s="96">
        <f>IF('основные условия'!$J$13=1,'расчет RAB'!N105,"")</f>
        <v>0</v>
      </c>
      <c r="O26" s="96">
        <f>IF('основные условия'!$J$13=1,'расчет RAB'!O105,"")</f>
        <v>0</v>
      </c>
      <c r="P26" s="96">
        <f>IF('основные условия'!$J$13=1,'расчет RAB'!P105,"")</f>
        <v>0</v>
      </c>
      <c r="Q26" s="96">
        <f>IF('основные условия'!$J$13=1,'расчет RAB'!Q105,"")</f>
        <v>7534.527906060636</v>
      </c>
      <c r="R26" s="96">
        <f>IF('основные условия'!$J$13=1,'расчет RAB'!R105,"")</f>
        <v>0</v>
      </c>
      <c r="S26" s="96">
        <f>IF('основные условия'!$J$13=1,'расчет RAB'!S105,"")</f>
        <v>0</v>
      </c>
      <c r="T26" s="96">
        <f>IF('основные условия'!$J$13=1,'расчет RAB'!T105,"")</f>
        <v>0</v>
      </c>
      <c r="U26" s="96">
        <f>IF('основные условия'!$J$13=1,'расчет RAB'!U105,"")</f>
        <v>0</v>
      </c>
      <c r="V26" s="96">
        <f>IF('основные условия'!$J$13=1,'расчет RAB'!V105,"")</f>
        <v>0</v>
      </c>
      <c r="W26" s="96">
        <f>IF('основные условия'!$J$13=1,'расчет RAB'!W105,"")</f>
        <v>0</v>
      </c>
      <c r="X26" s="96">
        <f>IF('основные условия'!$J$13=1,'расчет RAB'!X105,"")</f>
        <v>0</v>
      </c>
      <c r="Y26" s="96">
        <f>IF('основные условия'!$J$13=1,'расчет RAB'!Y105,"")</f>
        <v>0</v>
      </c>
      <c r="Z26" s="96">
        <f>IF('основные условия'!$J$13=1,'расчет RAB'!Z105,"")</f>
        <v>0</v>
      </c>
      <c r="AA26" s="96">
        <f>IF('основные условия'!$J$13=1,'расчет RAB'!AA105,"")</f>
        <v>0</v>
      </c>
      <c r="AB26" s="96">
        <f>IF('основные условия'!$J$13=1,'расчет RAB'!AB105,"")</f>
        <v>0</v>
      </c>
      <c r="AC26" s="96">
        <f>IF('основные условия'!$J$13=1,'расчет RAB'!AC105,"")</f>
        <v>0</v>
      </c>
      <c r="AD26" s="96">
        <f>IF('основные условия'!$J$13=1,'расчет RAB'!AD105,"")</f>
        <v>0</v>
      </c>
      <c r="AE26" s="96">
        <f>IF('основные условия'!$J$13=1,'расчет RAB'!AE105,"")</f>
        <v>0</v>
      </c>
      <c r="AF26" s="96">
        <f>IF('основные условия'!$J$13=1,'расчет RAB'!AF105,"")</f>
        <v>0</v>
      </c>
    </row>
    <row r="27" spans="1:32" s="76" customFormat="1" ht="30">
      <c r="A27" s="97" t="s">
        <v>47</v>
      </c>
      <c r="B27" s="98">
        <f>IF('основные условия'!$J$13=1,'расчет RAB'!B106,'расчет индексация'!B93)</f>
        <v>0</v>
      </c>
      <c r="C27" s="98">
        <f>IF('основные условия'!$J$13=1,'расчет RAB'!C106,'расчет индексация'!C93)</f>
        <v>940.0874651162792</v>
      </c>
      <c r="D27" s="98">
        <f>IF('основные условия'!$J$13=1,'расчет RAB'!D106,'расчет индексация'!D93)</f>
        <v>945.5117880552152</v>
      </c>
      <c r="E27" s="98">
        <f>IF('основные условия'!$J$13=1,'расчет RAB'!E106,'расчет индексация'!E93)</f>
        <v>928.992932244442</v>
      </c>
      <c r="F27" s="98">
        <f>IF('основные условия'!$J$13=1,'расчет RAB'!F106,'расчет индексация'!F93)</f>
        <v>909.9772403733978</v>
      </c>
      <c r="G27" s="98">
        <f>IF('основные условия'!$J$13=1,'расчет RAB'!G106,'расчет индексация'!G93)</f>
        <v>890.114173770257</v>
      </c>
      <c r="H27" s="98">
        <f>IF('основные условия'!$J$13=1,'расчет RAB'!H106,'расчет индексация'!H93)</f>
        <v>868.1953295446588</v>
      </c>
      <c r="I27" s="98">
        <f>IF('основные условия'!$J$13=1,'расчет RAB'!I106,'расчет индексация'!I93)</f>
        <v>844.7015593782445</v>
      </c>
      <c r="J27" s="98">
        <f>IF('основные условия'!$J$13=1,'расчет RAB'!J106,'расчет индексация'!J93)</f>
        <v>820.0575485379325</v>
      </c>
      <c r="K27" s="98">
        <f>IF('основные условия'!$J$13=1,'расчет RAB'!K106,'расчет индексация'!K93)</f>
        <v>795.0419061062648</v>
      </c>
      <c r="L27" s="98">
        <f>IF('основные условия'!$J$13=1,'расчет RAB'!L106,'расчет индексация'!L93)</f>
        <v>769.1083907258885</v>
      </c>
      <c r="M27" s="98">
        <f>IF('основные условия'!$J$13=1,'расчет RAB'!M106,'расчет индексация'!M93)</f>
        <v>743.8176467300011</v>
      </c>
      <c r="N27" s="98">
        <f>IF('основные условия'!$J$13=1,'расчет RAB'!N106,'расчет индексация'!N93)</f>
        <v>739.8454723237392</v>
      </c>
      <c r="O27" s="98">
        <f>IF('основные условия'!$J$13=1,'расчет RAB'!O106,'расчет индексация'!O93)</f>
        <v>753.277246869423</v>
      </c>
      <c r="P27" s="98">
        <f>IF('основные условия'!$J$13=1,'расчет RAB'!P106,'расчет индексация'!P93)</f>
        <v>780.8185583147288</v>
      </c>
      <c r="Q27" s="98">
        <f>IF('основные условия'!$J$13=1,'расчет RAB'!Q106,'расчет индексация'!Q93)</f>
        <v>2634.108191306258</v>
      </c>
      <c r="R27" s="98">
        <f>IF('основные условия'!$J$13=1,'расчет RAB'!R106,'расчет индексация'!R93)</f>
        <v>864.4501712165414</v>
      </c>
      <c r="S27" s="98">
        <f>IF('основные условия'!$J$13=1,'расчет RAB'!S106,'расчет индексация'!S93)</f>
        <v>916.0259584489386</v>
      </c>
      <c r="T27" s="98">
        <f>IF('основные условия'!$J$13=1,'расчет RAB'!T106,'расчет индексация'!T93)</f>
        <v>971.483441057939</v>
      </c>
      <c r="U27" s="98">
        <f>IF('основные условия'!$J$13=1,'расчет RAB'!U106,'расчет индексация'!U93)</f>
        <v>1023.471558635097</v>
      </c>
      <c r="V27" s="98">
        <f>IF('основные условия'!$J$13=1,'расчет RAB'!V106,'расчет индексация'!V93)</f>
        <v>1082.42862321226</v>
      </c>
      <c r="W27" s="98">
        <f>IF('основные условия'!$J$13=1,'расчет RAB'!W106,'расчет индексация'!W93)</f>
        <v>1140.0500888184552</v>
      </c>
      <c r="X27" s="98">
        <f>IF('основные условия'!$J$13=1,'расчет RAB'!X106,'расчет индексация'!X93)</f>
        <v>1197.069593473453</v>
      </c>
      <c r="Y27" s="98">
        <f>IF('основные условия'!$J$13=1,'расчет RAB'!Y106,'расчет индексация'!Y93)</f>
        <v>1252.82111245463</v>
      </c>
      <c r="Z27" s="98">
        <f>IF('основные условия'!$J$13=1,'расчет RAB'!Z106,'расчет индексация'!Z93)</f>
        <v>1306.790360577164</v>
      </c>
      <c r="AA27" s="98">
        <f>IF('основные условия'!$J$13=1,'расчет RAB'!AA106,'расчет индексация'!AA93)</f>
        <v>1358.472731794293</v>
      </c>
      <c r="AB27" s="98">
        <f>IF('основные условия'!$J$13=1,'расчет RAB'!AB106,'расчет индексация'!AB93)</f>
        <v>1407.500216868712</v>
      </c>
      <c r="AC27" s="98">
        <f>IF('основные условия'!$J$13=1,'расчет RAB'!AC106,'расчет индексация'!AC93)</f>
        <v>1453.5958197672217</v>
      </c>
      <c r="AD27" s="98">
        <f>IF('основные условия'!$J$13=1,'расчет RAB'!AD106,'расчет индексация'!AD93)</f>
        <v>1496.5596118505273</v>
      </c>
      <c r="AE27" s="98">
        <f>IF('основные условия'!$J$13=1,'расчет RAB'!AE106,'расчет индексация'!AE93)</f>
        <v>1536.256848272137</v>
      </c>
      <c r="AF27" s="98">
        <f>IF('основные условия'!$J$13=1,'расчет RAB'!AF106,'расчет индексация'!AF93)</f>
        <v>1572.6076368731722</v>
      </c>
    </row>
  </sheetData>
  <sheetProtection formatCells="0" formatColumns="0" formatRows="0" sort="0" autoFilter="0"/>
  <mergeCells count="2">
    <mergeCell ref="A3:A4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Дондупова Эржена Валерьевна</dc:creator>
  <cp:keywords/>
  <dc:description/>
  <cp:lastModifiedBy>Demidova</cp:lastModifiedBy>
  <dcterms:created xsi:type="dcterms:W3CDTF">2012-05-02T06:23:07Z</dcterms:created>
  <dcterms:modified xsi:type="dcterms:W3CDTF">2015-07-01T15:16:55Z</dcterms:modified>
  <cp:category/>
  <cp:version/>
  <cp:contentType/>
  <cp:contentStatus/>
</cp:coreProperties>
</file>